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13" windowWidth="15489" windowHeight="11082" tabRatio="869" activeTab="0"/>
  </bookViews>
  <sheets>
    <sheet name="Hoofdpagina" sheetId="1" r:id="rId1"/>
    <sheet name="Algemeen en dieraantallen" sheetId="2" r:id="rId2"/>
    <sheet name="Rantsoen" sheetId="3" r:id="rId3"/>
    <sheet name="Ruwvoer" sheetId="4" r:id="rId4"/>
    <sheet name="Vee" sheetId="5" r:id="rId5"/>
    <sheet name="Grond en gebouwen" sheetId="6" r:id="rId6"/>
    <sheet name="Mest" sheetId="7" r:id="rId7"/>
    <sheet name="Arbeid+installaties" sheetId="8" r:id="rId8"/>
    <sheet name="Water en energie" sheetId="9" r:id="rId9"/>
  </sheets>
  <definedNames/>
  <calcPr fullCalcOnLoad="1"/>
</workbook>
</file>

<file path=xl/comments1.xml><?xml version="1.0" encoding="utf-8"?>
<comments xmlns="http://schemas.openxmlformats.org/spreadsheetml/2006/main">
  <authors>
    <author>Evers, Aart</author>
  </authors>
  <commentList>
    <comment ref="A13" authorId="0">
      <text>
        <r>
          <rPr>
            <b/>
            <sz val="11"/>
            <rFont val="Tahoma"/>
            <family val="2"/>
          </rPr>
          <t>Toelichting: Het percentage maïs invullen, rest is graskuil. Andere soort ruwvoer invullen: klik op kopje "rantsoen"</t>
        </r>
        <r>
          <rPr>
            <sz val="1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1"/>
            <rFont val="Tahoma"/>
            <family val="2"/>
          </rPr>
          <t>Toelichting: Het percentage maïs invullen, rest is graskuil. Andere soort ruwvoer invullen: klik op kopje "rantsoen"</t>
        </r>
        <r>
          <rPr>
            <sz val="1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1"/>
            <rFont val="Tahoma"/>
            <family val="2"/>
          </rPr>
          <t>Toelichting: Bij ruwvoer aankopen wordt deze vraag gebruikt bij inschatting ds opbrengst bij weiden van het jongvee</t>
        </r>
        <r>
          <rPr>
            <sz val="11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11"/>
            <rFont val="Tahoma"/>
            <family val="2"/>
          </rPr>
          <t>Toelichting: Gemiddelde pachtprijs uit KWIN</t>
        </r>
        <r>
          <rPr>
            <sz val="1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11"/>
            <rFont val="Tahoma"/>
            <family val="2"/>
          </rPr>
          <t>Bron: DLV. Indexatie 2018: obv KWIN (2% hogere gezondheidskosten per kg melk t.o.v. KWIN 2009-2010) en 4,8% hogere melkproductie per koe (BIN)=+6,8% kosten per dier ten opzichte van 2010</t>
        </r>
      </text>
    </comment>
    <comment ref="C29" authorId="0">
      <text>
        <r>
          <rPr>
            <b/>
            <sz val="11"/>
            <rFont val="Tahoma"/>
            <family val="2"/>
          </rPr>
          <t>Bron: DLV. Indexatie 2018: obv KWIN (2% hogere gezondheidskosten per kg melk t.o.v. KWIN 2009-2010) en 4,8% hogere melkproductie per koe (BIN)=+6,8% kosten per dier ten opzichte van 2010</t>
        </r>
      </text>
    </comment>
    <comment ref="C40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Evers, Aart</author>
  </authors>
  <commentList>
    <comment ref="F7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Op basis van DLV tarief voor insemineren teruggerekend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<sst xmlns="http://schemas.openxmlformats.org/spreadsheetml/2006/main" count="766" uniqueCount="465">
  <si>
    <t>Invoer</t>
  </si>
  <si>
    <t>Rantsoen</t>
  </si>
  <si>
    <t>Aantal dagen weiden 0-1 jaar</t>
  </si>
  <si>
    <t>Aantal dagen weiden &gt; 1 jaar</t>
  </si>
  <si>
    <t>% maiskuil ruwvoer stal 0-1 jaar</t>
  </si>
  <si>
    <t>% maiskuil ruwvoer stal &gt; 1 jaar</t>
  </si>
  <si>
    <t>%</t>
  </si>
  <si>
    <t>Veekosten</t>
  </si>
  <si>
    <t>Gezondheidskosten 0-1 jaar</t>
  </si>
  <si>
    <t>Gezondheidskosten &gt; 1 jaar</t>
  </si>
  <si>
    <t>Gebouwen</t>
  </si>
  <si>
    <t>Pachtprijs per ha</t>
  </si>
  <si>
    <t>Grond en gebouwen</t>
  </si>
  <si>
    <t>Arbeid</t>
  </si>
  <si>
    <t>Prijs per gewerkt uur</t>
  </si>
  <si>
    <t>Uitvoer</t>
  </si>
  <si>
    <t>Voerkosten</t>
  </si>
  <si>
    <t>w.v. krachtvoer en melkpoeder</t>
  </si>
  <si>
    <t>w.v. ruwvoer</t>
  </si>
  <si>
    <t>w.v. gezondheid</t>
  </si>
  <si>
    <t>w.v. inseminatie</t>
  </si>
  <si>
    <t>w.v. berekende rente</t>
  </si>
  <si>
    <t>w.v. strooisel</t>
  </si>
  <si>
    <t>Gewaskosten</t>
  </si>
  <si>
    <t>Loonwerk</t>
  </si>
  <si>
    <t>Werktuigen en installaties</t>
  </si>
  <si>
    <t>Pacht</t>
  </si>
  <si>
    <t>Mestafvoer</t>
  </si>
  <si>
    <t>Totale kosten</t>
  </si>
  <si>
    <t>Exclusief arbeid</t>
  </si>
  <si>
    <t>Grondsoort en ds opbrengst grasland</t>
  </si>
  <si>
    <t>droge zandgrond, 9500 kg ds/ha/jr</t>
  </si>
  <si>
    <t>matige zandgrond, 11000 kg ds/ha/jr</t>
  </si>
  <si>
    <t>goede zandgrond, 12500 kg ds/ha/jr</t>
  </si>
  <si>
    <t>veengrond, 11000 kg ds/ha/jr</t>
  </si>
  <si>
    <t>natte kleigrond, 10000 kg ds/ha/jr</t>
  </si>
  <si>
    <t>goede kleigrond 14000 kg ds/ha/jr</t>
  </si>
  <si>
    <t>keuze:</t>
  </si>
  <si>
    <t>Stro</t>
  </si>
  <si>
    <t>Zaagsel</t>
  </si>
  <si>
    <t>strooisel 0-1 jr:</t>
  </si>
  <si>
    <t>strooisel &lt; 1 jr:</t>
  </si>
  <si>
    <t>(door op kopje te klikken zijn  extra uitgangspunten in hulpwerkblad in te vullen)</t>
  </si>
  <si>
    <t>stuks</t>
  </si>
  <si>
    <t>kg/dier/staldag</t>
  </si>
  <si>
    <t>kg/dier/weidedag</t>
  </si>
  <si>
    <t>euro/dier</t>
  </si>
  <si>
    <t>euro/ha</t>
  </si>
  <si>
    <t>euro/ton</t>
  </si>
  <si>
    <t>euro/uur</t>
  </si>
  <si>
    <t>Arbeid en installaties</t>
  </si>
  <si>
    <t>euro</t>
  </si>
  <si>
    <t>dagen</t>
  </si>
  <si>
    <t>Ruwvoer</t>
  </si>
  <si>
    <t>Leeftijd bij afkalveren</t>
  </si>
  <si>
    <t>Uitval &gt; 1 jaar</t>
  </si>
  <si>
    <t>Algemeen: berekening benodigde dieren bij opgegeven vervanging</t>
  </si>
  <si>
    <t>met aantal dieren wat in rood is aangegeven wordt gerekend</t>
  </si>
  <si>
    <t>Aantal aanwezige dieren &gt; 1 jaar</t>
  </si>
  <si>
    <t>Aantal aanwezige dieren 0-1 jaar</t>
  </si>
  <si>
    <t>Benodigde bruto hoeveelheid ds:</t>
  </si>
  <si>
    <t>Vers gras</t>
  </si>
  <si>
    <t>Graskuil</t>
  </si>
  <si>
    <t>Maïskuil</t>
  </si>
  <si>
    <t>kg ds</t>
  </si>
  <si>
    <t>Overig ruwvoer</t>
  </si>
  <si>
    <t>Gewasopbrengst</t>
  </si>
  <si>
    <t>norm</t>
  </si>
  <si>
    <t>prijs</t>
  </si>
  <si>
    <t>Norm</t>
  </si>
  <si>
    <t>Bedrag</t>
  </si>
  <si>
    <t>Melkpoeder</t>
  </si>
  <si>
    <t>Leeftijd spenen</t>
  </si>
  <si>
    <t>Gemiddelde gift melkpoeder/dag</t>
  </si>
  <si>
    <t>Aantal nuka's aanwezig</t>
  </si>
  <si>
    <t>Aanvoer melkpoeder totaal</t>
  </si>
  <si>
    <t>opgave</t>
  </si>
  <si>
    <t>kg</t>
  </si>
  <si>
    <t>kg/dag tot spenen</t>
  </si>
  <si>
    <t>euro/kg</t>
  </si>
  <si>
    <t>bedrag</t>
  </si>
  <si>
    <t>Krachtvoer</t>
  </si>
  <si>
    <t>0-1 jaar</t>
  </si>
  <si>
    <t>Gemiddeld aantal aanwezige dieren</t>
  </si>
  <si>
    <t>&gt; 1 jaar</t>
  </si>
  <si>
    <t>Aantal dagen op stal</t>
  </si>
  <si>
    <t>Krachtvoergift op stal</t>
  </si>
  <si>
    <t>Aantal dagen in de wei</t>
  </si>
  <si>
    <t>Krachtvoergift in de wei</t>
  </si>
  <si>
    <t>Vervoederingsverliezen</t>
  </si>
  <si>
    <t>euro/100 kg</t>
  </si>
  <si>
    <t>Totale ruwvoeropname per staldag</t>
  </si>
  <si>
    <t>Totale opname vers gras per weidedag</t>
  </si>
  <si>
    <t>Aandeel graskuil</t>
  </si>
  <si>
    <t>Aandeel maïskuil</t>
  </si>
  <si>
    <t>kg ds/dag</t>
  </si>
  <si>
    <t>Opname graskuil totaal</t>
  </si>
  <si>
    <t>Opname maïskuil totaal</t>
  </si>
  <si>
    <t>Opname overig ruwvoer totaal</t>
  </si>
  <si>
    <t>Opname vers gras totaal</t>
  </si>
  <si>
    <t>Beweidingsrendement</t>
  </si>
  <si>
    <t>Bruto behoefte vers gras</t>
  </si>
  <si>
    <t>Totale bruto behoefte vers gras:</t>
  </si>
  <si>
    <t>Vervoederingsverlies</t>
  </si>
  <si>
    <t>Conserveringsverlies</t>
  </si>
  <si>
    <t>Veldverlies</t>
  </si>
  <si>
    <t>Bruto behoefte graskuil</t>
  </si>
  <si>
    <t>Bruto behoefte maïskuil</t>
  </si>
  <si>
    <t>Bruto Behoefte overig ruwvoer</t>
  </si>
  <si>
    <t>Aandeel overig ruwvoer (aanvoer)</t>
  </si>
  <si>
    <t>Totale bruto behoefte graskuil:</t>
  </si>
  <si>
    <t>Totale bruto behoefte maïskuil:</t>
  </si>
  <si>
    <t>Totale bruto behoefte overig ruwvoer:</t>
  </si>
  <si>
    <t>Totale bruto behoefte krachtvoer</t>
  </si>
  <si>
    <t>kg ds graskuil</t>
  </si>
  <si>
    <t>kg ds maïskuil</t>
  </si>
  <si>
    <t>kg ds overig ruwvoer</t>
  </si>
  <si>
    <t>kg/dag</t>
  </si>
  <si>
    <t>Totale bruto behoefte kvv</t>
  </si>
  <si>
    <t>Krachtvoervervangers (kvv) op stal</t>
  </si>
  <si>
    <t>euro/100 kg ds</t>
  </si>
  <si>
    <t>euro krachtvoerkosten</t>
  </si>
  <si>
    <t>euro kosten krachtvoervervanger</t>
  </si>
  <si>
    <t>euro kosten melkpoeder</t>
  </si>
  <si>
    <t>graskuil</t>
  </si>
  <si>
    <t>maïskuil</t>
  </si>
  <si>
    <t>Snedezwaarte bij maaien</t>
  </si>
  <si>
    <t>Gemaaide hectares</t>
  </si>
  <si>
    <t>ha</t>
  </si>
  <si>
    <t>kg ds per snede</t>
  </si>
  <si>
    <t>Afrastering</t>
  </si>
  <si>
    <t>Herinzaaipercentage</t>
  </si>
  <si>
    <t>Zaaizaad</t>
  </si>
  <si>
    <t>Mestproductie en mestafvoer</t>
  </si>
  <si>
    <t>Teelt, oogst en aankoop ruwvoer</t>
  </si>
  <si>
    <t>euro per ha</t>
  </si>
  <si>
    <t>euro per ha herinzaai</t>
  </si>
  <si>
    <t>Loonwerk:</t>
  </si>
  <si>
    <t>Maaien</t>
  </si>
  <si>
    <t>Schudden</t>
  </si>
  <si>
    <t>Harken</t>
  </si>
  <si>
    <t xml:space="preserve">Herinzaai </t>
  </si>
  <si>
    <t>euro per gemaaide ha</t>
  </si>
  <si>
    <t>euro per m³</t>
  </si>
  <si>
    <t>Inkuilen + aanrijden kuil</t>
  </si>
  <si>
    <t>Overige loonwerkkosten</t>
  </si>
  <si>
    <t xml:space="preserve">euro per ha  </t>
  </si>
  <si>
    <t>Zaaien</t>
  </si>
  <si>
    <t>Onkruid bestrijden</t>
  </si>
  <si>
    <t>Gewasbeschermingsmiddelen</t>
  </si>
  <si>
    <t>Oogst + aanrijden kuil</t>
  </si>
  <si>
    <t>Gewaskosten grasland totaal</t>
  </si>
  <si>
    <t>Gewaskosten maïsland totaal</t>
  </si>
  <si>
    <t>Loonwerkkosten grasland totaal</t>
  </si>
  <si>
    <t>Loonwerkkosten maïsland totaal</t>
  </si>
  <si>
    <r>
      <t>Bemesten</t>
    </r>
    <r>
      <rPr>
        <vertAlign val="superscript"/>
        <sz val="11"/>
        <color indexed="8"/>
        <rFont val="Calibri"/>
        <family val="2"/>
      </rPr>
      <t>1</t>
    </r>
  </si>
  <si>
    <r>
      <t>Kunstmest</t>
    </r>
    <r>
      <rPr>
        <vertAlign val="superscript"/>
        <sz val="11"/>
        <color indexed="8"/>
        <rFont val="Calibri"/>
        <family val="2"/>
      </rPr>
      <t>1</t>
    </r>
  </si>
  <si>
    <r>
      <rPr>
        <u val="single"/>
        <vertAlign val="superscript"/>
        <sz val="11"/>
        <color indexed="12"/>
        <rFont val="Calibri"/>
        <family val="2"/>
      </rPr>
      <t>1</t>
    </r>
    <r>
      <rPr>
        <u val="single"/>
        <sz val="11"/>
        <color indexed="12"/>
        <rFont val="Calibri"/>
        <family val="2"/>
      </rPr>
      <t xml:space="preserve"> Zie ook tabblad bemesting voor meer details</t>
    </r>
  </si>
  <si>
    <t>Totaal kosten aangevoerd ruwvoer</t>
  </si>
  <si>
    <t>herinzaaikosten</t>
  </si>
  <si>
    <t>basisbemesting herinzaai</t>
  </si>
  <si>
    <t>Ploegen + zaaiklaar maken</t>
  </si>
  <si>
    <t>ploegen+zaaiklaar</t>
  </si>
  <si>
    <t>kg ds bruto/ha</t>
  </si>
  <si>
    <t>Berekening mestproductie</t>
  </si>
  <si>
    <t>aantal 0-1 jaar</t>
  </si>
  <si>
    <t>mestproductie per dag</t>
  </si>
  <si>
    <t>aantal &gt; 1 jaar</t>
  </si>
  <si>
    <t>liter per dag</t>
  </si>
  <si>
    <t>Totale mestproductie</t>
  </si>
  <si>
    <t>m³</t>
  </si>
  <si>
    <t>N-gehalte in de mest</t>
  </si>
  <si>
    <t>kg N/m³</t>
  </si>
  <si>
    <t>Toediening drijfmest</t>
  </si>
  <si>
    <t>Drijfmestgift op grasland</t>
  </si>
  <si>
    <t>Drijfmestgift op maïsland</t>
  </si>
  <si>
    <t>m³/ha</t>
  </si>
  <si>
    <t>Beschikbaar grasland</t>
  </si>
  <si>
    <t>Beschikbaar maïsland</t>
  </si>
  <si>
    <t>Berekening mestplaatsingsruimte</t>
  </si>
  <si>
    <t>Mestplaatsingsruimte per ha</t>
  </si>
  <si>
    <t>kg N/ha</t>
  </si>
  <si>
    <t>kg N uit dierlijke mest</t>
  </si>
  <si>
    <t>Maximaal plaatsbare N</t>
  </si>
  <si>
    <t>Verplichte afvoer</t>
  </si>
  <si>
    <t>Beschikbaar voor aanwenden</t>
  </si>
  <si>
    <t>prijs mestafvoer</t>
  </si>
  <si>
    <t>Aanvoer stikstofkunstmest</t>
  </si>
  <si>
    <t>Gebruiksnorm N grasland</t>
  </si>
  <si>
    <t>Gebruiksnorm N maïsland</t>
  </si>
  <si>
    <t>gebruiksnorm gras</t>
  </si>
  <si>
    <t>Werking N drijfmest op grasland</t>
  </si>
  <si>
    <t>Werking N drijfmest op maïsland</t>
  </si>
  <si>
    <t>prijs kunstmest</t>
  </si>
  <si>
    <t>euro per kg</t>
  </si>
  <si>
    <t>Overige bemesting bij herinzaai</t>
  </si>
  <si>
    <t>Totale bemestingskosten</t>
  </si>
  <si>
    <r>
      <t>Kunstmest +overige bemesting</t>
    </r>
    <r>
      <rPr>
        <vertAlign val="superscript"/>
        <sz val="11"/>
        <color indexed="8"/>
        <rFont val="Calibri"/>
        <family val="2"/>
      </rPr>
      <t>1</t>
    </r>
  </si>
  <si>
    <t>m³ mest op grasland</t>
  </si>
  <si>
    <t>Ingeschatte kunstmestgift</t>
  </si>
  <si>
    <t>Gezondheidszorg</t>
  </si>
  <si>
    <t>euro per dier</t>
  </si>
  <si>
    <t>w.v. kosten destructie</t>
  </si>
  <si>
    <t>Inseminatie</t>
  </si>
  <si>
    <t>Inseminaties per drachtigheid</t>
  </si>
  <si>
    <t>Prijs per inseminatie</t>
  </si>
  <si>
    <t>Spermaprijs per dosis</t>
  </si>
  <si>
    <t>keer</t>
  </si>
  <si>
    <t>Kosten per dier</t>
  </si>
  <si>
    <t xml:space="preserve">Totale kosten gezondheidszorg </t>
  </si>
  <si>
    <t xml:space="preserve">Totale kosten inseminaties </t>
  </si>
  <si>
    <t>w.v. scheren</t>
  </si>
  <si>
    <t>Scheren</t>
  </si>
  <si>
    <t xml:space="preserve">Totale kosten scheren </t>
  </si>
  <si>
    <t xml:space="preserve">Kosten mestafvoer </t>
  </si>
  <si>
    <t xml:space="preserve">Kosten N-kunstmest </t>
  </si>
  <si>
    <t>Strooisel</t>
  </si>
  <si>
    <t>Hoeveelheid strooisel per dier</t>
  </si>
  <si>
    <t>kg/jaar</t>
  </si>
  <si>
    <t>Type strooisel</t>
  </si>
  <si>
    <t>Prijs per ton</t>
  </si>
  <si>
    <t>euro per ton</t>
  </si>
  <si>
    <t>Kosten per kalf</t>
  </si>
  <si>
    <t>kosten per pink</t>
  </si>
  <si>
    <t xml:space="preserve">Totale kosten strooisel </t>
  </si>
  <si>
    <t>Berekende rente</t>
  </si>
  <si>
    <t>Vervangingswaarde</t>
  </si>
  <si>
    <t>Rente</t>
  </si>
  <si>
    <t>Rente per kalf</t>
  </si>
  <si>
    <t>Rente per pink</t>
  </si>
  <si>
    <t xml:space="preserve">Totale berekende rente </t>
  </si>
  <si>
    <t>Destructie</t>
  </si>
  <si>
    <t>zie voor uitval pagina Algemeen</t>
  </si>
  <si>
    <t>Uitval dieren</t>
  </si>
  <si>
    <t>Tarief ophalen dieren per stop</t>
  </si>
  <si>
    <t>Aanvullend tarief per dier</t>
  </si>
  <si>
    <t>excl. BTW</t>
  </si>
  <si>
    <t>incl. BTW</t>
  </si>
  <si>
    <t xml:space="preserve">Totale destructiekosten </t>
  </si>
  <si>
    <t>Destructie kalveren</t>
  </si>
  <si>
    <t>Destructie pinken</t>
  </si>
  <si>
    <t>zie voor oppervlakte grond tabblad Ruwvoer</t>
  </si>
  <si>
    <t>Oppervlakte grond</t>
  </si>
  <si>
    <t>euro per stop</t>
  </si>
  <si>
    <t>Pachtprijs</t>
  </si>
  <si>
    <t xml:space="preserve">Totale kosten pacht </t>
  </si>
  <si>
    <t>Aantal dierplaatsen 0-1 jaar</t>
  </si>
  <si>
    <t>plaatsen in de stal</t>
  </si>
  <si>
    <t>euro per dierplaats</t>
  </si>
  <si>
    <t>Aantal dierplaatsen &gt; 1 jaar</t>
  </si>
  <si>
    <t>Prijs per dierplaats &gt; 1 jaar</t>
  </si>
  <si>
    <t>Afschrijving</t>
  </si>
  <si>
    <t>Onderhoud</t>
  </si>
  <si>
    <t>rentekosten</t>
  </si>
  <si>
    <t>kosten afschrijving</t>
  </si>
  <si>
    <t>kosten onderhoud</t>
  </si>
  <si>
    <t xml:space="preserve">Kosten gebouwen totaal </t>
  </si>
  <si>
    <t>Vervangingswaarde mestschuif</t>
  </si>
  <si>
    <t>Vervangingswaarde per dierplaats 0-1 jaar</t>
  </si>
  <si>
    <t>Vervangingswaarde mestplaat</t>
  </si>
  <si>
    <t>Vervangingswaarde overige bouwwerken</t>
  </si>
  <si>
    <t>Vervangingswaarde drinkautomaat</t>
  </si>
  <si>
    <t>Vervangingswaarde krachtvoercomputer en toebehoren</t>
  </si>
  <si>
    <t>Totale vervangingswaarde bouwwerken</t>
  </si>
  <si>
    <t>Onderhoud mestschuif</t>
  </si>
  <si>
    <t xml:space="preserve">Totale kosten installaties </t>
  </si>
  <si>
    <t>Aantal dieren</t>
  </si>
  <si>
    <t>Vaste arbeidsbehoefte per diergroep</t>
  </si>
  <si>
    <t>uren per diergroep</t>
  </si>
  <si>
    <t>Arbeidsbesparing per dier bij mestschuif</t>
  </si>
  <si>
    <t>Arbeidsbesparing per dier bij drinkautomaat</t>
  </si>
  <si>
    <t>Arbeidsbesparing per dier bij krachtvoercomputer</t>
  </si>
  <si>
    <t>Arbeidsbesparing per dier bij overige installaties</t>
  </si>
  <si>
    <t>Gewerkte uren per diergroep</t>
  </si>
  <si>
    <t xml:space="preserve">Totale arbeidskosten </t>
  </si>
  <si>
    <t>kosten arbeid per uur</t>
  </si>
  <si>
    <t>euro per uur</t>
  </si>
  <si>
    <t>Water</t>
  </si>
  <si>
    <t>Drinkwater</t>
  </si>
  <si>
    <t>Water voor kunstmelk</t>
  </si>
  <si>
    <t>liter per dag tot spenen</t>
  </si>
  <si>
    <t>Totaal waterverbruik</t>
  </si>
  <si>
    <t>Prijs water per m³</t>
  </si>
  <si>
    <t xml:space="preserve">Totale kosten water </t>
  </si>
  <si>
    <t>Energie</t>
  </si>
  <si>
    <r>
      <t>* om 1 m³ water met 1</t>
    </r>
    <r>
      <rPr>
        <sz val="11"/>
        <color indexed="8"/>
        <rFont val="Calibri"/>
        <family val="2"/>
      </rPr>
      <t>°C te verhogen is ongeveer 1,16 kWh nodig</t>
    </r>
  </si>
  <si>
    <t>Energieverbruik water voor kunstmelk:</t>
  </si>
  <si>
    <t>Temperatuur koud water</t>
  </si>
  <si>
    <t>Temperatuur kalvermelk</t>
  </si>
  <si>
    <t>°C</t>
  </si>
  <si>
    <t>Energieverbruik warm water*</t>
  </si>
  <si>
    <t>kWh/jaar</t>
  </si>
  <si>
    <t>Energieverbruik kalverdrinkautomaat</t>
  </si>
  <si>
    <t>Energieverbruik ov. Installaties</t>
  </si>
  <si>
    <t>Energieverbruik verlichting</t>
  </si>
  <si>
    <t>Totaal energieverbruik</t>
  </si>
  <si>
    <t>euro/kWh</t>
  </si>
  <si>
    <t>Prijs energie</t>
  </si>
  <si>
    <t xml:space="preserve">Totale kosten energie </t>
  </si>
  <si>
    <t>Arbeid dieren</t>
  </si>
  <si>
    <t>Bemesten</t>
  </si>
  <si>
    <t>Arbeid veldwerkzaamheden grasland (bij geen loonwerk)</t>
  </si>
  <si>
    <t>uur eigen arbeid per gemaaide ha</t>
  </si>
  <si>
    <t>uur eigen arbeid per ha grasland</t>
  </si>
  <si>
    <t>Totaal eigen arbeid veldwerkzaamheden</t>
  </si>
  <si>
    <t>uur</t>
  </si>
  <si>
    <t>uur eigen arbeid per gemaaide ha (inschatting 2 keer schudden)</t>
  </si>
  <si>
    <t>aantal dagen op stal</t>
  </si>
  <si>
    <t>Rente op leningen (%)</t>
  </si>
  <si>
    <t>Vervangingswaarde stal per dier 0-1 jaar</t>
  </si>
  <si>
    <t>Vervangingswaarde stal per dier &gt; 1 jaar</t>
  </si>
  <si>
    <t>jaar.maand</t>
  </si>
  <si>
    <t>1.10</t>
  </si>
  <si>
    <t>1.11</t>
  </si>
  <si>
    <t>2.00</t>
  </si>
  <si>
    <t>2.01</t>
  </si>
  <si>
    <t>2.02</t>
  </si>
  <si>
    <t>2.03</t>
  </si>
  <si>
    <t>2.04</t>
  </si>
  <si>
    <t>2.05</t>
  </si>
  <si>
    <t>2.06</t>
  </si>
  <si>
    <t>maanden</t>
  </si>
  <si>
    <t>Suggestie</t>
  </si>
  <si>
    <t xml:space="preserve"> (in ligboxenstal goedkoper dan bij aparte jongveestal)</t>
  </si>
  <si>
    <t>Uitvalrisico</t>
  </si>
  <si>
    <t xml:space="preserve">Uitvalrisico </t>
  </si>
  <si>
    <t>Installaties en werktuigen</t>
  </si>
  <si>
    <t>Vervangingswaarde overige installaties, werktuigen</t>
  </si>
  <si>
    <t>Totale vervangingswaarde installaties en werktuigen</t>
  </si>
  <si>
    <t>Onderhoud overige installaties en werktuigen</t>
  </si>
  <si>
    <t>Strooiselkosten</t>
  </si>
  <si>
    <t>euro per jaar</t>
  </si>
  <si>
    <t xml:space="preserve">Kosten arbeid: </t>
  </si>
  <si>
    <t>Prijs aangekochte graskuil (45% ds)</t>
  </si>
  <si>
    <t>Prijs (opgave)</t>
  </si>
  <si>
    <t>euro per kg ds</t>
  </si>
  <si>
    <t>Prijs aangekochte maïskuil (33% ds)</t>
  </si>
  <si>
    <t>(waardering totaal uren: eigen en vreemde arbeid)</t>
  </si>
  <si>
    <t>Alleen gele cellen invullen!</t>
  </si>
  <si>
    <t>Bedragen excl. BTW</t>
  </si>
  <si>
    <t>stuks kalveren en pinken</t>
  </si>
  <si>
    <t>Waarde dier 0-1 jaar (ivm uitvalrisico)</t>
  </si>
  <si>
    <t>Uitval 0 - 1 jaar</t>
  </si>
  <si>
    <t>Aantal uitgevallen dieren 0 - 1 jaar</t>
  </si>
  <si>
    <t>Aantal uitgevallen dieren &gt; jaar</t>
  </si>
  <si>
    <t>Waarde dier &gt; 1 jaar (ivm uitvalrisico)</t>
  </si>
  <si>
    <t xml:space="preserve">gewerkte uren per jaar </t>
  </si>
  <si>
    <t>Variabele arbeidsbehoefte na arbeidsbesparing</t>
  </si>
  <si>
    <t>Loonwerk ?*</t>
  </si>
  <si>
    <t>* antwoord hangt af van invoer op pagina "Ruwvoer"</t>
  </si>
  <si>
    <r>
      <t>Loonwerk (bij eigen beheer "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" invoeren):</t>
    </r>
  </si>
  <si>
    <t>Algemeen en dieraantallen</t>
  </si>
  <si>
    <t xml:space="preserve">Uren besteed aan jongvee: </t>
  </si>
  <si>
    <t>uur/jaar</t>
  </si>
  <si>
    <t>Uitleg:</t>
  </si>
  <si>
    <t>* Met behulp van het aantal dieren wordt de mestproductie berekend</t>
  </si>
  <si>
    <t>* Met behulp van aantal hectares uit pagina "ruwvoer" wordt mestplaatingsruimte berekend</t>
  </si>
  <si>
    <t>* Wanneer er onvoldoende mestplaatsingsruimte is, wordt de mest afgevoerd</t>
  </si>
  <si>
    <t>* Wanneer de productie van mest in de stal lager is dan de verplichte afvoer, wordt</t>
  </si>
  <si>
    <t>* De overgebleven mest wordt verdeeld over het aanwezige land, de gift op maïs</t>
  </si>
  <si>
    <t>* Na toedelling drijfmest wordt kunstmest bijgestrooid totdat gebruiksnorm volgemaakt is.</t>
  </si>
  <si>
    <r>
      <t>kan zelf worden ingevuld, rest komt op grasland (</t>
    </r>
    <r>
      <rPr>
        <sz val="11"/>
        <color indexed="10"/>
        <rFont val="Calibri"/>
        <family val="2"/>
      </rPr>
      <t>let wel op dat deze niet negatief wordt!!</t>
    </r>
    <r>
      <rPr>
        <sz val="11"/>
        <color theme="1"/>
        <rFont val="Calibri"/>
        <family val="2"/>
      </rPr>
      <t>)</t>
    </r>
  </si>
  <si>
    <t>Algemene kosten</t>
  </si>
  <si>
    <t>per dier per dag</t>
  </si>
  <si>
    <t>Leeftijd vaarzen bij afvoer</t>
  </si>
  <si>
    <t>Gemiddelde leeftijd kalveren bij aanvoer</t>
  </si>
  <si>
    <t>Oppervlakte grasland voor jongvee</t>
  </si>
  <si>
    <t>Oppervlakte maïsland voor jongvee</t>
  </si>
  <si>
    <t xml:space="preserve"> (bij te weinig plaatsingsruimte wordt mest voor deze prijs afgevoerd, bij extra ruimte wordt mest aangevoerd voor deze prijs)</t>
  </si>
  <si>
    <t>Prijs mestafvoer of mestaanvoer</t>
  </si>
  <si>
    <t>Leeftijd bij aanvoer</t>
  </si>
  <si>
    <t>Aantal dagen aanwezig 0 - 1 jaar op opfokbedrijf</t>
  </si>
  <si>
    <t>dagen per dier</t>
  </si>
  <si>
    <t>Aantal dagen aanwezig &gt; 1 jaar op opfokbedrijf</t>
  </si>
  <si>
    <t>Aantal afgeleverde vaarzen per jaar</t>
  </si>
  <si>
    <t>per afgeleverde vaars</t>
  </si>
  <si>
    <t>Leeftijd spenen - aanvoerleeftijd</t>
  </si>
  <si>
    <t>Eigen teelt</t>
  </si>
  <si>
    <t>Oppervlakte</t>
  </si>
  <si>
    <t>Geteelde hoeveelheid vers gras</t>
  </si>
  <si>
    <t>Geteelde hoeveelheid graskuil</t>
  </si>
  <si>
    <t>kg ds totaal</t>
  </si>
  <si>
    <t>grasland</t>
  </si>
  <si>
    <t>maïsland</t>
  </si>
  <si>
    <t>Totaal geteelde hoeveelheid</t>
  </si>
  <si>
    <t>Aanvoer ruwvoer*</t>
  </si>
  <si>
    <t>* Bij teveel ruwvoer wordt ruwvoer verkocht voor opgegeven prijs (= negatieve kosten)</t>
  </si>
  <si>
    <t>Overige Algemene kosten</t>
  </si>
  <si>
    <t>Kosten voor administratie, verzekering, etc.</t>
  </si>
  <si>
    <t xml:space="preserve">Totale overige algemene kosten </t>
  </si>
  <si>
    <t>* Wanneer er meer mestplaatsingsruimte is wordt mest aangevoerd</t>
  </si>
  <si>
    <r>
      <t xml:space="preserve">m³ </t>
    </r>
    <r>
      <rPr>
        <sz val="11"/>
        <color indexed="10"/>
        <rFont val="Calibri"/>
        <family val="2"/>
      </rPr>
      <t>(negatief is aanvoer)</t>
    </r>
  </si>
  <si>
    <t>Uitsplitsing kosten:</t>
  </si>
  <si>
    <t>evenwel verder gerekend met kosten voor verplichte afvoer</t>
  </si>
  <si>
    <t>Aantal aanwezig stuks jongvee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</si>
  <si>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hier alleen krachtvoer invullen, voor extra krachtvoervervanger klik op kopje </t>
    </r>
    <r>
      <rPr>
        <b/>
        <sz val="10"/>
        <color indexed="8"/>
        <rFont val="Calibri"/>
        <family val="2"/>
      </rPr>
      <t>Rantsoen</t>
    </r>
    <r>
      <rPr>
        <sz val="10"/>
        <color indexed="8"/>
        <rFont val="Calibri"/>
        <family val="2"/>
      </rPr>
      <t>!</t>
    </r>
  </si>
  <si>
    <r>
      <t>Kg krachtvoer 0-1 jaar STAL</t>
    </r>
    <r>
      <rPr>
        <vertAlign val="superscript"/>
        <sz val="11"/>
        <color indexed="8"/>
        <rFont val="Calibri"/>
        <family val="2"/>
      </rPr>
      <t>1</t>
    </r>
  </si>
  <si>
    <r>
      <t>Kg krachtvoer &gt; 1 jaar STAL</t>
    </r>
    <r>
      <rPr>
        <vertAlign val="superscript"/>
        <sz val="11"/>
        <color indexed="8"/>
        <rFont val="Calibri"/>
        <family val="2"/>
      </rPr>
      <t>1</t>
    </r>
  </si>
  <si>
    <r>
      <t>Kg krachtvoer 0-1 jaar WEI</t>
    </r>
    <r>
      <rPr>
        <vertAlign val="superscript"/>
        <sz val="11"/>
        <color indexed="8"/>
        <rFont val="Calibri"/>
        <family val="2"/>
      </rPr>
      <t>1</t>
    </r>
  </si>
  <si>
    <r>
      <t>Kg krachtvoer &gt; 1 jaar WEI</t>
    </r>
    <r>
      <rPr>
        <vertAlign val="superscript"/>
        <sz val="11"/>
        <color indexed="8"/>
        <rFont val="Calibri"/>
        <family val="2"/>
      </rPr>
      <t>1</t>
    </r>
  </si>
  <si>
    <t>Prijs water</t>
  </si>
  <si>
    <t>euro /m³</t>
  </si>
  <si>
    <t>Gewaskosten grasland voor jongvee</t>
  </si>
  <si>
    <t>Gewaskosten maïsland voor jongvee</t>
  </si>
  <si>
    <t>euro/ton incl oogst + transport</t>
  </si>
  <si>
    <t>minuten per diergroep per dag</t>
  </si>
  <si>
    <t>Aankoopprijs nuka</t>
  </si>
  <si>
    <t>Loonwerkkosten grasland voor jongvee</t>
  </si>
  <si>
    <t>Loonwerkkosten maïsland voor jongvee</t>
  </si>
  <si>
    <t>Resultaten exclusief BTW</t>
  </si>
  <si>
    <t>Resultaten inclusief BTW</t>
  </si>
  <si>
    <t>Totale opfokkosten</t>
  </si>
  <si>
    <t>Keuze</t>
  </si>
  <si>
    <t>Per afgeleverde vaars</t>
  </si>
  <si>
    <t>Opbrengst verkoop ruwvoer</t>
  </si>
  <si>
    <t>Opbrengst mest aanvoer</t>
  </si>
  <si>
    <t>Kosten aankoop nuka</t>
  </si>
  <si>
    <t>Bedrijfsniveau:</t>
  </si>
  <si>
    <t>w.v. overige veekosten</t>
  </si>
  <si>
    <t>Per dier per dag</t>
  </si>
  <si>
    <t>Opfokkosten</t>
  </si>
  <si>
    <t>Aankoop nuka's</t>
  </si>
  <si>
    <t>Totaal</t>
  </si>
  <si>
    <t>Opbrengst mestafvoer</t>
  </si>
  <si>
    <t>(aanpassen strooiselkosten?: klik op kopje Veekosten voor details)</t>
  </si>
  <si>
    <t>(+)</t>
  </si>
  <si>
    <t>(-)</t>
  </si>
  <si>
    <t>Uitsplitsing opfokkosten:</t>
  </si>
  <si>
    <t>Leeftijd bij afvoer</t>
  </si>
  <si>
    <t>Kosten per gem aanwezig pink</t>
  </si>
  <si>
    <t>norm is wettelijke werking ivm kunstmestruimte (werkelijke werking ligt rond 55%)</t>
  </si>
  <si>
    <t>m³ op maïsland</t>
  </si>
  <si>
    <t>Water en energie</t>
  </si>
  <si>
    <t>Geproduceerde N in mest</t>
  </si>
  <si>
    <t>kg N uit dierlijke mest (norm is forfaitair met correctie voor BEX aan de hand van % maïs*)</t>
  </si>
  <si>
    <t>* norm N productie uit dierlijke mest is ingeschat met forfaitaire normen, gecorrigeerd aan de hand van % maïs in ruwvoer rantsoen: iedere % = -1% excretie</t>
  </si>
  <si>
    <t>mestplaatsingsruimte bij derogatie Ov/Gld/Utr/NB/Lim</t>
  </si>
  <si>
    <t>Provincie (ivm derogatie)</t>
  </si>
  <si>
    <t>Overig</t>
  </si>
  <si>
    <t>(wanneer er meer dan 80% grasland is, staat de norm standaard op 250 of 230 kg N/ha, dus derogatie)</t>
  </si>
  <si>
    <t>gebruiksnorm mais met derogatie</t>
  </si>
  <si>
    <t>gebruiksnorm mais zonder derogatie</t>
  </si>
  <si>
    <t>Overijssel/Gelderland/Utrecht</t>
  </si>
  <si>
    <t>Noord Brabant/Limburg</t>
  </si>
  <si>
    <t>gebruiksnorm dierlijke mest bij derogatie</t>
  </si>
  <si>
    <t>gebruiksnorm stikstof mais zand in NB en LIM</t>
  </si>
  <si>
    <t>natrium+koper + helft kosten kalium en fosfaat</t>
  </si>
  <si>
    <t>(alleen ploegen en zaaiklaar maken)</t>
  </si>
  <si>
    <t>gras</t>
  </si>
  <si>
    <t>mais</t>
  </si>
  <si>
    <t>Fosfaatrechten</t>
  </si>
  <si>
    <t>Productie fosfaat jongvee (forfaitair)</t>
  </si>
  <si>
    <t>kg P2O5</t>
  </si>
  <si>
    <t>euro/kg P2O5 recht</t>
  </si>
  <si>
    <t>Rente fosfaatrechten</t>
  </si>
  <si>
    <t>2280 tot 2530</t>
  </si>
  <si>
    <t>2530 tot 2660</t>
  </si>
  <si>
    <t>Toegekende fosfaatrechten jongvee</t>
  </si>
  <si>
    <t>Waarde aangekocht fosfaatrecht</t>
  </si>
  <si>
    <t>Waarde aangekochte fosfaatrechten jongvee</t>
  </si>
  <si>
    <t>kg P2O6</t>
  </si>
  <si>
    <t>maak inschatting op basis van beschikking hoeveel rechten voor jongvee per 1/1/2018 aanwezig zijn</t>
  </si>
  <si>
    <t>(alleen kosten voor extra aangekochte fosfaatrechten na 1/1/2018)</t>
  </si>
  <si>
    <t>Rente- en afschrijving fosfaatrechten</t>
  </si>
  <si>
    <t>Rente + afschrijving fosfaatrechten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</si>
</sst>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\€\ 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u val="single"/>
      <vertAlign val="superscript"/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13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5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right"/>
    </xf>
    <xf numFmtId="0" fontId="5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52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44" fillId="34" borderId="0" xfId="43" applyFill="1" applyAlignment="1">
      <alignment/>
    </xf>
    <xf numFmtId="0" fontId="57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164" fontId="0" fillId="6" borderId="10" xfId="0" applyNumberFormat="1" applyFill="1" applyBorder="1" applyAlignment="1">
      <alignment/>
    </xf>
    <xf numFmtId="0" fontId="0" fillId="34" borderId="0" xfId="0" applyFill="1" applyAlignment="1">
      <alignment horizontal="right" wrapText="1"/>
    </xf>
    <xf numFmtId="0" fontId="55" fillId="34" borderId="0" xfId="0" applyFont="1" applyFill="1" applyAlignment="1">
      <alignment/>
    </xf>
    <xf numFmtId="0" fontId="0" fillId="6" borderId="0" xfId="0" applyFill="1" applyAlignment="1">
      <alignment/>
    </xf>
    <xf numFmtId="0" fontId="0" fillId="34" borderId="0" xfId="0" applyFill="1" applyAlignment="1">
      <alignment horizontal="left"/>
    </xf>
    <xf numFmtId="0" fontId="31" fillId="34" borderId="0" xfId="0" applyFont="1" applyFill="1" applyAlignment="1">
      <alignment/>
    </xf>
    <xf numFmtId="2" fontId="0" fillId="6" borderId="10" xfId="0" applyNumberFormat="1" applyFill="1" applyBorder="1" applyAlignment="1">
      <alignment/>
    </xf>
    <xf numFmtId="1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1" fontId="0" fillId="6" borderId="11" xfId="0" applyNumberFormat="1" applyFill="1" applyBorder="1" applyAlignment="1">
      <alignment/>
    </xf>
    <xf numFmtId="0" fontId="0" fillId="6" borderId="12" xfId="0" applyFill="1" applyBorder="1" applyAlignment="1">
      <alignment/>
    </xf>
    <xf numFmtId="1" fontId="58" fillId="6" borderId="13" xfId="0" applyNumberFormat="1" applyFont="1" applyFill="1" applyBorder="1" applyAlignment="1">
      <alignment/>
    </xf>
    <xf numFmtId="1" fontId="58" fillId="6" borderId="14" xfId="0" applyNumberFormat="1" applyFont="1" applyFill="1" applyBorder="1" applyAlignment="1">
      <alignment/>
    </xf>
    <xf numFmtId="2" fontId="31" fillId="34" borderId="0" xfId="0" applyNumberFormat="1" applyFont="1" applyFill="1" applyBorder="1" applyAlignment="1">
      <alignment/>
    </xf>
    <xf numFmtId="1" fontId="0" fillId="6" borderId="12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34" borderId="0" xfId="0" applyFont="1" applyFill="1" applyAlignment="1">
      <alignment/>
    </xf>
    <xf numFmtId="1" fontId="0" fillId="6" borderId="10" xfId="0" applyNumberForma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3" borderId="15" xfId="0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/>
    </xf>
    <xf numFmtId="1" fontId="52" fillId="6" borderId="10" xfId="0" applyNumberFormat="1" applyFont="1" applyFill="1" applyBorder="1" applyAlignment="1">
      <alignment/>
    </xf>
    <xf numFmtId="2" fontId="52" fillId="6" borderId="10" xfId="0" applyNumberFormat="1" applyFont="1" applyFill="1" applyBorder="1" applyAlignment="1">
      <alignment/>
    </xf>
    <xf numFmtId="0" fontId="0" fillId="33" borderId="10" xfId="0" applyNumberFormat="1" applyFill="1" applyBorder="1" applyAlignment="1" applyProtection="1">
      <alignment/>
      <protection locked="0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49" fontId="31" fillId="6" borderId="12" xfId="0" applyNumberFormat="1" applyFont="1" applyFill="1" applyBorder="1" applyAlignment="1">
      <alignment horizontal="right"/>
    </xf>
    <xf numFmtId="0" fontId="59" fillId="34" borderId="0" xfId="0" applyFont="1" applyFill="1" applyAlignment="1">
      <alignment/>
    </xf>
    <xf numFmtId="0" fontId="55" fillId="34" borderId="0" xfId="0" applyNumberFormat="1" applyFont="1" applyFill="1" applyAlignment="1">
      <alignment/>
    </xf>
    <xf numFmtId="1" fontId="0" fillId="6" borderId="10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5" fontId="0" fillId="6" borderId="10" xfId="0" applyNumberFormat="1" applyFill="1" applyBorder="1" applyAlignment="1">
      <alignment/>
    </xf>
    <xf numFmtId="0" fontId="5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9" fillId="34" borderId="19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31" fillId="34" borderId="19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3" xfId="0" applyFill="1" applyBorder="1" applyAlignment="1">
      <alignment/>
    </xf>
    <xf numFmtId="2" fontId="31" fillId="6" borderId="24" xfId="0" applyNumberFormat="1" applyFont="1" applyFill="1" applyBorder="1" applyAlignment="1" applyProtection="1">
      <alignment/>
      <protection/>
    </xf>
    <xf numFmtId="2" fontId="31" fillId="33" borderId="24" xfId="0" applyNumberFormat="1" applyFont="1" applyFill="1" applyBorder="1" applyAlignment="1" applyProtection="1">
      <alignment/>
      <protection locked="0"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164" fontId="58" fillId="6" borderId="13" xfId="0" applyNumberFormat="1" applyFont="1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2" fontId="0" fillId="6" borderId="15" xfId="0" applyNumberFormat="1" applyFill="1" applyBorder="1" applyAlignment="1">
      <alignment/>
    </xf>
    <xf numFmtId="0" fontId="29" fillId="34" borderId="16" xfId="0" applyFont="1" applyFill="1" applyBorder="1" applyAlignment="1">
      <alignment/>
    </xf>
    <xf numFmtId="164" fontId="58" fillId="6" borderId="25" xfId="0" applyNumberFormat="1" applyFont="1" applyFill="1" applyBorder="1" applyAlignment="1">
      <alignment/>
    </xf>
    <xf numFmtId="1" fontId="0" fillId="6" borderId="10" xfId="0" applyNumberFormat="1" applyFill="1" applyBorder="1" applyAlignment="1" applyProtection="1">
      <alignment/>
      <protection/>
    </xf>
    <xf numFmtId="2" fontId="58" fillId="6" borderId="10" xfId="0" applyNumberFormat="1" applyFont="1" applyFill="1" applyBorder="1" applyAlignment="1">
      <alignment/>
    </xf>
    <xf numFmtId="1" fontId="0" fillId="6" borderId="15" xfId="0" applyNumberFormat="1" applyFill="1" applyBorder="1" applyAlignment="1">
      <alignment/>
    </xf>
    <xf numFmtId="2" fontId="58" fillId="34" borderId="0" xfId="0" applyNumberFormat="1" applyFont="1" applyFill="1" applyBorder="1" applyAlignment="1">
      <alignment/>
    </xf>
    <xf numFmtId="0" fontId="58" fillId="6" borderId="13" xfId="0" applyFont="1" applyFill="1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48" fillId="13" borderId="0" xfId="0" applyFont="1" applyFill="1" applyAlignment="1">
      <alignment horizontal="right"/>
    </xf>
    <xf numFmtId="0" fontId="63" fillId="11" borderId="0" xfId="0" applyFont="1" applyFill="1" applyAlignment="1">
      <alignment horizontal="right"/>
    </xf>
    <xf numFmtId="0" fontId="48" fillId="34" borderId="0" xfId="0" applyFon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64" fontId="0" fillId="6" borderId="1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2" fontId="52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0" fillId="34" borderId="19" xfId="0" applyFill="1" applyBorder="1" applyAlignment="1">
      <alignment horizontal="left"/>
    </xf>
    <xf numFmtId="0" fontId="52" fillId="34" borderId="21" xfId="0" applyFont="1" applyFill="1" applyBorder="1" applyAlignment="1">
      <alignment horizontal="left"/>
    </xf>
    <xf numFmtId="0" fontId="52" fillId="34" borderId="22" xfId="0" applyFont="1" applyFill="1" applyBorder="1" applyAlignment="1">
      <alignment/>
    </xf>
    <xf numFmtId="0" fontId="0" fillId="34" borderId="22" xfId="0" applyFill="1" applyBorder="1" applyAlignment="1">
      <alignment horizontal="left"/>
    </xf>
    <xf numFmtId="0" fontId="5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1" fontId="60" fillId="34" borderId="0" xfId="0" applyNumberFormat="1" applyFont="1" applyFill="1" applyBorder="1" applyAlignment="1">
      <alignment horizontal="right"/>
    </xf>
    <xf numFmtId="1" fontId="52" fillId="34" borderId="0" xfId="0" applyNumberFormat="1" applyFont="1" applyFill="1" applyBorder="1" applyAlignment="1">
      <alignment horizontal="right" indent="3"/>
    </xf>
    <xf numFmtId="1" fontId="0" fillId="34" borderId="0" xfId="0" applyNumberFormat="1" applyFill="1" applyBorder="1" applyAlignment="1">
      <alignment horizontal="right" indent="3"/>
    </xf>
    <xf numFmtId="1" fontId="52" fillId="34" borderId="22" xfId="0" applyNumberFormat="1" applyFont="1" applyFill="1" applyBorder="1" applyAlignment="1">
      <alignment horizontal="right" indent="3"/>
    </xf>
    <xf numFmtId="0" fontId="55" fillId="34" borderId="0" xfId="0" applyFont="1" applyFill="1" applyAlignment="1">
      <alignment horizontal="right"/>
    </xf>
    <xf numFmtId="1" fontId="55" fillId="6" borderId="11" xfId="0" applyNumberFormat="1" applyFont="1" applyFill="1" applyBorder="1" applyAlignment="1">
      <alignment/>
    </xf>
    <xf numFmtId="0" fontId="55" fillId="34" borderId="0" xfId="0" applyFont="1" applyFill="1" applyAlignment="1">
      <alignment horizontal="center"/>
    </xf>
    <xf numFmtId="2" fontId="0" fillId="6" borderId="10" xfId="0" applyNumberFormat="1" applyFill="1" applyBorder="1" applyAlignment="1">
      <alignment horizontal="right"/>
    </xf>
    <xf numFmtId="0" fontId="31" fillId="6" borderId="12" xfId="0" applyFont="1" applyFill="1" applyBorder="1" applyAlignment="1">
      <alignment/>
    </xf>
    <xf numFmtId="0" fontId="31" fillId="6" borderId="10" xfId="0" applyFont="1" applyFill="1" applyBorder="1" applyAlignment="1">
      <alignment/>
    </xf>
    <xf numFmtId="0" fontId="31" fillId="6" borderId="10" xfId="0" applyFont="1" applyFill="1" applyBorder="1" applyAlignment="1">
      <alignment horizontal="right"/>
    </xf>
    <xf numFmtId="0" fontId="31" fillId="6" borderId="15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1" fontId="31" fillId="34" borderId="0" xfId="0" applyNumberFormat="1" applyFont="1" applyFill="1" applyBorder="1" applyAlignment="1">
      <alignment horizontal="right" indent="3"/>
    </xf>
    <xf numFmtId="0" fontId="31" fillId="34" borderId="0" xfId="0" applyFont="1" applyFill="1" applyAlignment="1">
      <alignment horizontal="right"/>
    </xf>
    <xf numFmtId="2" fontId="31" fillId="6" borderId="10" xfId="0" applyNumberFormat="1" applyFont="1" applyFill="1" applyBorder="1" applyAlignment="1">
      <alignment/>
    </xf>
    <xf numFmtId="0" fontId="31" fillId="6" borderId="10" xfId="0" applyFont="1" applyFill="1" applyBorder="1" applyAlignment="1" applyProtection="1">
      <alignment/>
      <protection/>
    </xf>
    <xf numFmtId="1" fontId="31" fillId="6" borderId="10" xfId="0" applyNumberFormat="1" applyFont="1" applyFill="1" applyBorder="1" applyAlignment="1">
      <alignment/>
    </xf>
    <xf numFmtId="0" fontId="31" fillId="33" borderId="10" xfId="0" applyFont="1" applyFill="1" applyBorder="1" applyAlignment="1" applyProtection="1">
      <alignment/>
      <protection locked="0"/>
    </xf>
    <xf numFmtId="1" fontId="31" fillId="33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1" fillId="6" borderId="24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4" fillId="34" borderId="0" xfId="43" applyFill="1" applyAlignment="1">
      <alignment/>
    </xf>
    <xf numFmtId="0" fontId="0" fillId="0" borderId="0" xfId="0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66675</xdr:rowOff>
    </xdr:from>
    <xdr:to>
      <xdr:col>4</xdr:col>
      <xdr:colOff>333375</xdr:colOff>
      <xdr:row>32</xdr:row>
      <xdr:rowOff>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76200" y="3905250"/>
          <a:ext cx="6048375" cy="504825"/>
        </a:xfrm>
        <a:prstGeom prst="leftArrow">
          <a:avLst>
            <a:gd name="adj" fmla="val -44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104775</xdr:rowOff>
    </xdr:from>
    <xdr:to>
      <xdr:col>5</xdr:col>
      <xdr:colOff>285750</xdr:colOff>
      <xdr:row>39</xdr:row>
      <xdr:rowOff>28575</xdr:rowOff>
    </xdr:to>
    <xdr:sp>
      <xdr:nvSpPr>
        <xdr:cNvPr id="1" name="PIJL-LINKS 3">
          <a:hlinkClick r:id="rId1"/>
        </xdr:cNvPr>
        <xdr:cNvSpPr>
          <a:spLocks/>
        </xdr:cNvSpPr>
      </xdr:nvSpPr>
      <xdr:spPr>
        <a:xfrm>
          <a:off x="28575" y="6962775"/>
          <a:ext cx="4762500" cy="495300"/>
        </a:xfrm>
        <a:prstGeom prst="leftArrow">
          <a:avLst>
            <a:gd name="adj" fmla="val -443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4</xdr:col>
      <xdr:colOff>257175</xdr:colOff>
      <xdr:row>39</xdr:row>
      <xdr:rowOff>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0" y="7038975"/>
          <a:ext cx="4514850" cy="504825"/>
        </a:xfrm>
        <a:prstGeom prst="leftArrow">
          <a:avLst>
            <a:gd name="adj" fmla="val -44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5</xdr:col>
      <xdr:colOff>285750</xdr:colOff>
      <xdr:row>37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38100" y="5362575"/>
          <a:ext cx="4352925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4</xdr:col>
      <xdr:colOff>304800</xdr:colOff>
      <xdr:row>38</xdr:row>
      <xdr:rowOff>57150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3562350"/>
          <a:ext cx="5295900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57150</xdr:rowOff>
    </xdr:from>
    <xdr:to>
      <xdr:col>4</xdr:col>
      <xdr:colOff>314325</xdr:colOff>
      <xdr:row>46</xdr:row>
      <xdr:rowOff>171450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8248650"/>
          <a:ext cx="5219700" cy="514350"/>
        </a:xfrm>
        <a:prstGeom prst="leftArrow">
          <a:avLst>
            <a:gd name="adj" fmla="val -43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123825</xdr:rowOff>
    </xdr:from>
    <xdr:to>
      <xdr:col>5</xdr:col>
      <xdr:colOff>276225</xdr:colOff>
      <xdr:row>36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9525" y="6410325"/>
          <a:ext cx="6381750" cy="495300"/>
        </a:xfrm>
        <a:prstGeom prst="leftArrow">
          <a:avLst>
            <a:gd name="adj" fmla="val -459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123825</xdr:rowOff>
    </xdr:from>
    <xdr:to>
      <xdr:col>5</xdr:col>
      <xdr:colOff>314325</xdr:colOff>
      <xdr:row>35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5267325"/>
          <a:ext cx="5629275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37.7109375" style="5" customWidth="1"/>
    <col min="2" max="3" width="9.140625" style="5" customWidth="1"/>
    <col min="4" max="4" width="7.28125" style="5" customWidth="1"/>
    <col min="5" max="5" width="9.140625" style="5" customWidth="1"/>
    <col min="6" max="6" width="14.7109375" style="5" customWidth="1"/>
    <col min="7" max="7" width="9.140625" style="5" customWidth="1"/>
    <col min="8" max="8" width="19.7109375" style="5" customWidth="1"/>
    <col min="9" max="9" width="13.140625" style="5" customWidth="1"/>
    <col min="10" max="10" width="8.7109375" style="6" customWidth="1"/>
    <col min="11" max="12" width="13.140625" style="6" customWidth="1"/>
    <col min="13" max="13" width="9.28125" style="5" customWidth="1"/>
    <col min="14" max="14" width="9.57421875" style="5" customWidth="1"/>
    <col min="15" max="15" width="22.140625" style="5" customWidth="1"/>
    <col min="16" max="16384" width="9.140625" style="5" customWidth="1"/>
  </cols>
  <sheetData>
    <row r="1" spans="1:14" ht="18.75">
      <c r="A1" s="4" t="s">
        <v>0</v>
      </c>
      <c r="B1" s="1" t="s">
        <v>338</v>
      </c>
      <c r="C1" s="1"/>
      <c r="D1" s="1"/>
      <c r="E1" s="122" t="s">
        <v>339</v>
      </c>
      <c r="F1" s="123"/>
      <c r="G1" s="50" t="s">
        <v>15</v>
      </c>
      <c r="H1" s="51"/>
      <c r="I1" s="51"/>
      <c r="J1" s="52"/>
      <c r="K1" s="52"/>
      <c r="L1" s="52"/>
      <c r="M1" s="53"/>
      <c r="N1" s="9"/>
    </row>
    <row r="2" spans="1:14" ht="15" customHeight="1">
      <c r="A2" s="12" t="s">
        <v>42</v>
      </c>
      <c r="G2" s="54"/>
      <c r="H2" s="9"/>
      <c r="I2" s="9"/>
      <c r="J2" s="48"/>
      <c r="K2" s="48"/>
      <c r="L2" s="48"/>
      <c r="M2" s="55"/>
      <c r="N2" s="9"/>
    </row>
    <row r="3" spans="1:14" ht="15">
      <c r="A3" s="11" t="s">
        <v>351</v>
      </c>
      <c r="C3" s="13" t="s">
        <v>322</v>
      </c>
      <c r="G3" s="54"/>
      <c r="H3" s="9"/>
      <c r="I3" s="48" t="s">
        <v>413</v>
      </c>
      <c r="J3" s="48"/>
      <c r="K3" s="48" t="s">
        <v>419</v>
      </c>
      <c r="L3" s="48"/>
      <c r="M3" s="55"/>
      <c r="N3" s="9"/>
    </row>
    <row r="4" spans="1:14" ht="15">
      <c r="A4" s="5" t="s">
        <v>394</v>
      </c>
      <c r="B4" s="70">
        <v>200</v>
      </c>
      <c r="C4" s="29"/>
      <c r="D4" s="5" t="s">
        <v>340</v>
      </c>
      <c r="G4" s="59" t="s">
        <v>411</v>
      </c>
      <c r="H4" s="9"/>
      <c r="I4" s="103">
        <f>IF($B$106=1,I107,J107)</f>
        <v>2042.8433263122313</v>
      </c>
      <c r="J4" s="91"/>
      <c r="K4" s="92">
        <f>I4/('Algemeen en dieraantallen'!$B$8+'Algemeen en dieraantallen'!$B$9)</f>
        <v>2.736867245254748</v>
      </c>
      <c r="L4" s="48"/>
      <c r="M4" s="55"/>
      <c r="N4" s="9"/>
    </row>
    <row r="5" spans="1:14" ht="15">
      <c r="A5" s="5" t="s">
        <v>365</v>
      </c>
      <c r="B5" s="33">
        <v>14</v>
      </c>
      <c r="C5" s="2">
        <v>14</v>
      </c>
      <c r="D5" s="5" t="s">
        <v>52</v>
      </c>
      <c r="G5" s="54" t="s">
        <v>29</v>
      </c>
      <c r="H5" s="9"/>
      <c r="I5" s="104">
        <f>IF($B$106=1,I108,J108)</f>
        <v>1545.4163471198387</v>
      </c>
      <c r="J5" s="48"/>
      <c r="K5" s="94">
        <f>I5/('Algemeen en dieraantallen'!$B$8+'Algemeen en dieraantallen'!$B$9)</f>
        <v>2.0704472664327414</v>
      </c>
      <c r="L5" s="48"/>
      <c r="M5" s="55"/>
      <c r="N5" s="9"/>
    </row>
    <row r="6" spans="1:14" ht="15">
      <c r="A6" s="5" t="s">
        <v>364</v>
      </c>
      <c r="B6" s="41"/>
      <c r="C6" s="44" t="s">
        <v>315</v>
      </c>
      <c r="D6" s="5" t="s">
        <v>311</v>
      </c>
      <c r="G6" s="54"/>
      <c r="H6" s="9"/>
      <c r="I6" s="93"/>
      <c r="J6" s="48"/>
      <c r="K6" s="48"/>
      <c r="L6" s="48"/>
      <c r="M6" s="55"/>
      <c r="N6" s="9"/>
    </row>
    <row r="7" spans="1:14" ht="15">
      <c r="A7" s="46" t="str">
        <f>"Bij deze uitgangspunten worden "&amp;TEXT('Algemeen en dieraantallen'!B16,"0.0")&amp;" drachtige vaarzen per jaar afgeleverd"</f>
        <v>Bij deze uitgangspunten worden 96.7 drachtige vaarzen per jaar afgeleverd</v>
      </c>
      <c r="G7" s="59" t="s">
        <v>427</v>
      </c>
      <c r="H7" s="9"/>
      <c r="I7" s="93"/>
      <c r="J7" s="48"/>
      <c r="K7" s="48"/>
      <c r="L7" s="48"/>
      <c r="M7" s="55"/>
      <c r="N7" s="9"/>
    </row>
    <row r="8" spans="1:14" ht="15">
      <c r="A8" s="5" t="s">
        <v>308</v>
      </c>
      <c r="B8" s="33">
        <v>3.5</v>
      </c>
      <c r="C8" s="110">
        <v>3.5</v>
      </c>
      <c r="D8" s="5" t="s">
        <v>6</v>
      </c>
      <c r="G8" s="54" t="s">
        <v>16</v>
      </c>
      <c r="H8" s="9"/>
      <c r="I8" s="104">
        <f aca="true" t="shared" si="0" ref="I8:I13">IF($B$106=1,I111,J111)</f>
        <v>396.03697140228405</v>
      </c>
      <c r="J8" s="48"/>
      <c r="K8" s="48"/>
      <c r="L8" s="48"/>
      <c r="M8" s="55"/>
      <c r="N8" s="9"/>
    </row>
    <row r="9" spans="7:14" ht="15" customHeight="1">
      <c r="G9" s="57" t="s">
        <v>17</v>
      </c>
      <c r="H9" s="9"/>
      <c r="I9" s="102">
        <f t="shared" si="0"/>
        <v>173.0511500732825</v>
      </c>
      <c r="J9" s="48"/>
      <c r="K9" s="48"/>
      <c r="L9" s="48"/>
      <c r="M9" s="55"/>
      <c r="N9" s="9"/>
    </row>
    <row r="10" spans="1:14" ht="15" customHeight="1">
      <c r="A10" s="11" t="s">
        <v>1</v>
      </c>
      <c r="G10" s="57" t="s">
        <v>18</v>
      </c>
      <c r="H10" s="9"/>
      <c r="I10" s="102">
        <f t="shared" si="0"/>
        <v>222.98582132900157</v>
      </c>
      <c r="J10" s="48"/>
      <c r="K10" s="48"/>
      <c r="L10" s="48"/>
      <c r="M10" s="55"/>
      <c r="N10" s="9"/>
    </row>
    <row r="11" spans="1:14" ht="15" customHeight="1">
      <c r="A11" s="5" t="s">
        <v>2</v>
      </c>
      <c r="B11" s="33">
        <v>90</v>
      </c>
      <c r="C11" s="2">
        <v>90</v>
      </c>
      <c r="D11" s="5" t="s">
        <v>52</v>
      </c>
      <c r="G11" s="54" t="s">
        <v>7</v>
      </c>
      <c r="H11" s="9"/>
      <c r="I11" s="104">
        <f t="shared" si="0"/>
        <v>187.72979521298083</v>
      </c>
      <c r="J11" s="48"/>
      <c r="K11" s="48"/>
      <c r="L11" s="48"/>
      <c r="M11" s="55"/>
      <c r="N11" s="9"/>
    </row>
    <row r="12" spans="1:14" ht="15">
      <c r="A12" s="5" t="s">
        <v>3</v>
      </c>
      <c r="B12" s="33">
        <v>180</v>
      </c>
      <c r="C12" s="2">
        <v>180</v>
      </c>
      <c r="D12" s="5" t="s">
        <v>52</v>
      </c>
      <c r="G12" s="57" t="s">
        <v>19</v>
      </c>
      <c r="H12" s="9"/>
      <c r="I12" s="102">
        <f t="shared" si="0"/>
        <v>54.465845749039254</v>
      </c>
      <c r="J12" s="48"/>
      <c r="K12" s="48"/>
      <c r="L12" s="48"/>
      <c r="M12" s="55"/>
      <c r="N12" s="9"/>
    </row>
    <row r="13" spans="1:14" ht="15">
      <c r="A13" s="5" t="s">
        <v>4</v>
      </c>
      <c r="B13" s="33">
        <v>10</v>
      </c>
      <c r="C13" s="2">
        <v>10</v>
      </c>
      <c r="D13" s="5" t="s">
        <v>6</v>
      </c>
      <c r="G13" s="57" t="s">
        <v>20</v>
      </c>
      <c r="H13" s="9"/>
      <c r="I13" s="102">
        <f t="shared" si="0"/>
        <v>40.48862679022747</v>
      </c>
      <c r="J13" s="48"/>
      <c r="K13" s="48"/>
      <c r="L13" s="48"/>
      <c r="M13" s="55"/>
      <c r="N13" s="9"/>
    </row>
    <row r="14" spans="1:14" ht="15" customHeight="1">
      <c r="A14" s="5" t="s">
        <v>5</v>
      </c>
      <c r="B14" s="33">
        <v>10</v>
      </c>
      <c r="C14" s="2">
        <v>10</v>
      </c>
      <c r="D14" s="5" t="s">
        <v>6</v>
      </c>
      <c r="G14" s="57" t="s">
        <v>21</v>
      </c>
      <c r="H14" s="9"/>
      <c r="I14" s="102">
        <f>IF($B$106=1,I119,J119)</f>
        <v>46.17527206841237</v>
      </c>
      <c r="J14" s="48"/>
      <c r="K14" s="48"/>
      <c r="L14" s="48"/>
      <c r="M14" s="55"/>
      <c r="N14" s="9"/>
    </row>
    <row r="15" spans="1:14" ht="15" customHeight="1">
      <c r="A15" s="5" t="s">
        <v>396</v>
      </c>
      <c r="B15" s="33">
        <v>1.07</v>
      </c>
      <c r="C15" s="2">
        <v>1.07</v>
      </c>
      <c r="D15" s="5" t="s">
        <v>44</v>
      </c>
      <c r="G15" s="54" t="s">
        <v>418</v>
      </c>
      <c r="H15" s="9"/>
      <c r="I15" s="102">
        <f>IF($B$106=1,(I118+I117+I120),(J118+J117+J120))</f>
        <v>46.60005060530173</v>
      </c>
      <c r="J15" s="48"/>
      <c r="K15" s="48"/>
      <c r="L15" s="48"/>
      <c r="M15" s="55"/>
      <c r="N15" s="9"/>
    </row>
    <row r="16" spans="1:14" ht="15" customHeight="1">
      <c r="A16" s="5" t="s">
        <v>397</v>
      </c>
      <c r="B16" s="33">
        <v>0.98</v>
      </c>
      <c r="C16" s="2">
        <v>0.98</v>
      </c>
      <c r="D16" s="5" t="s">
        <v>44</v>
      </c>
      <c r="G16" s="54" t="s">
        <v>23</v>
      </c>
      <c r="H16" s="9"/>
      <c r="I16" s="104">
        <f aca="true" t="shared" si="1" ref="I16:I24">IF($B$106=1,I121,J121)</f>
        <v>108.21341607598298</v>
      </c>
      <c r="J16" s="48"/>
      <c r="K16" s="48"/>
      <c r="L16" s="48"/>
      <c r="M16" s="55"/>
      <c r="N16" s="9"/>
    </row>
    <row r="17" spans="1:14" ht="15" customHeight="1">
      <c r="A17" s="5" t="s">
        <v>398</v>
      </c>
      <c r="B17" s="33">
        <v>0</v>
      </c>
      <c r="C17" s="2">
        <v>0</v>
      </c>
      <c r="D17" s="5" t="s">
        <v>45</v>
      </c>
      <c r="G17" s="54" t="s">
        <v>24</v>
      </c>
      <c r="H17" s="9"/>
      <c r="I17" s="104">
        <f t="shared" si="1"/>
        <v>132.43073053765315</v>
      </c>
      <c r="J17" s="48"/>
      <c r="K17" s="48"/>
      <c r="L17" s="48"/>
      <c r="M17" s="55"/>
      <c r="N17" s="9"/>
    </row>
    <row r="18" spans="1:14" ht="15" customHeight="1">
      <c r="A18" s="5" t="s">
        <v>399</v>
      </c>
      <c r="B18" s="33">
        <v>0</v>
      </c>
      <c r="C18" s="2">
        <v>0</v>
      </c>
      <c r="D18" s="5" t="s">
        <v>45</v>
      </c>
      <c r="G18" s="54" t="s">
        <v>25</v>
      </c>
      <c r="H18" s="9"/>
      <c r="I18" s="104">
        <f t="shared" si="1"/>
        <v>0</v>
      </c>
      <c r="J18" s="48"/>
      <c r="K18" s="48"/>
      <c r="L18" s="48"/>
      <c r="M18" s="55"/>
      <c r="N18" s="9"/>
    </row>
    <row r="19" spans="1:14" ht="15" customHeight="1">
      <c r="A19" s="45" t="s">
        <v>395</v>
      </c>
      <c r="G19" s="54" t="s">
        <v>10</v>
      </c>
      <c r="H19" s="9"/>
      <c r="I19" s="104">
        <f t="shared" si="1"/>
        <v>349.65819494293197</v>
      </c>
      <c r="J19" s="48"/>
      <c r="K19" s="48"/>
      <c r="L19" s="48"/>
      <c r="M19" s="55"/>
      <c r="N19" s="9"/>
    </row>
    <row r="20" spans="7:14" ht="15" customHeight="1">
      <c r="G20" s="54" t="s">
        <v>26</v>
      </c>
      <c r="H20" s="9"/>
      <c r="I20" s="104">
        <f t="shared" si="1"/>
        <v>186.0636345800972</v>
      </c>
      <c r="J20" s="48"/>
      <c r="K20" s="48"/>
      <c r="L20" s="48"/>
      <c r="M20" s="55"/>
      <c r="N20" s="9"/>
    </row>
    <row r="21" spans="1:14" ht="15" customHeight="1">
      <c r="A21" s="11" t="s">
        <v>134</v>
      </c>
      <c r="G21" s="54" t="s">
        <v>27</v>
      </c>
      <c r="H21" s="9"/>
      <c r="I21" s="104">
        <f t="shared" si="1"/>
        <v>62.39625204975866</v>
      </c>
      <c r="J21" s="48"/>
      <c r="K21" s="48"/>
      <c r="L21" s="48"/>
      <c r="M21" s="55"/>
      <c r="N21" s="9"/>
    </row>
    <row r="22" spans="1:14" ht="15" customHeight="1">
      <c r="A22" s="5" t="s">
        <v>366</v>
      </c>
      <c r="B22" s="33">
        <v>28.5</v>
      </c>
      <c r="D22" s="5" t="s">
        <v>128</v>
      </c>
      <c r="G22" s="54" t="s">
        <v>13</v>
      </c>
      <c r="H22" s="9"/>
      <c r="I22" s="104">
        <f t="shared" si="1"/>
        <v>497.4269791923925</v>
      </c>
      <c r="J22" s="48"/>
      <c r="K22" s="48"/>
      <c r="L22" s="48"/>
      <c r="M22" s="55"/>
      <c r="N22" s="9"/>
    </row>
    <row r="23" spans="1:14" ht="15" customHeight="1">
      <c r="A23" s="5" t="s">
        <v>367</v>
      </c>
      <c r="B23" s="33">
        <v>1.5</v>
      </c>
      <c r="D23" s="5" t="s">
        <v>128</v>
      </c>
      <c r="G23" s="54" t="s">
        <v>324</v>
      </c>
      <c r="H23" s="9"/>
      <c r="I23" s="104">
        <f t="shared" si="1"/>
        <v>26.3858697533785</v>
      </c>
      <c r="J23" s="48"/>
      <c r="K23" s="48"/>
      <c r="L23" s="48"/>
      <c r="M23" s="55"/>
      <c r="N23" s="9"/>
    </row>
    <row r="24" spans="1:14" ht="15" customHeight="1">
      <c r="A24" s="5" t="s">
        <v>30</v>
      </c>
      <c r="G24" s="58" t="s">
        <v>362</v>
      </c>
      <c r="H24" s="9"/>
      <c r="I24" s="104">
        <f t="shared" si="1"/>
        <v>96.50148256477132</v>
      </c>
      <c r="J24" s="48"/>
      <c r="K24" s="48"/>
      <c r="L24" s="48"/>
      <c r="M24" s="55"/>
      <c r="N24" s="9"/>
    </row>
    <row r="25" spans="1:14" ht="15" customHeight="1" thickBot="1">
      <c r="A25" s="5" t="s">
        <v>333</v>
      </c>
      <c r="B25" s="33">
        <f>C25</f>
        <v>78</v>
      </c>
      <c r="C25" s="111">
        <v>78</v>
      </c>
      <c r="D25" s="5" t="s">
        <v>404</v>
      </c>
      <c r="G25" s="58" t="s">
        <v>464</v>
      </c>
      <c r="H25" s="114"/>
      <c r="I25" s="115">
        <f>IF($B$106=1,I130,J130)</f>
        <v>0</v>
      </c>
      <c r="J25" s="48"/>
      <c r="K25" s="48"/>
      <c r="L25" s="48"/>
      <c r="M25" s="55"/>
      <c r="N25" s="9"/>
    </row>
    <row r="26" spans="1:14" ht="15" customHeight="1">
      <c r="A26" s="5" t="s">
        <v>336</v>
      </c>
      <c r="B26" s="33">
        <f>C26</f>
        <v>42</v>
      </c>
      <c r="C26" s="111">
        <v>42</v>
      </c>
      <c r="D26" s="5" t="s">
        <v>404</v>
      </c>
      <c r="G26" s="100" t="s">
        <v>417</v>
      </c>
      <c r="H26" s="51"/>
      <c r="I26" s="101"/>
      <c r="J26" s="52"/>
      <c r="K26" s="52"/>
      <c r="L26" s="52"/>
      <c r="M26" s="53"/>
      <c r="N26" s="9"/>
    </row>
    <row r="27" spans="7:14" ht="15" customHeight="1">
      <c r="G27" s="54" t="s">
        <v>420</v>
      </c>
      <c r="H27" s="9"/>
      <c r="I27" s="104">
        <f>I4*'Algemeen en dieraantallen'!B16</f>
        <v>197626.90305714094</v>
      </c>
      <c r="J27" s="90" t="s">
        <v>425</v>
      </c>
      <c r="K27" s="48"/>
      <c r="L27" s="48"/>
      <c r="M27" s="55"/>
      <c r="N27" s="9"/>
    </row>
    <row r="28" spans="1:14" ht="15" customHeight="1">
      <c r="A28" s="11" t="s">
        <v>7</v>
      </c>
      <c r="G28" s="54" t="s">
        <v>421</v>
      </c>
      <c r="H28" s="9"/>
      <c r="I28" s="104">
        <f>I134</f>
        <v>2877.910014513788</v>
      </c>
      <c r="J28" s="90" t="s">
        <v>425</v>
      </c>
      <c r="K28" s="48"/>
      <c r="L28" s="48"/>
      <c r="M28" s="55"/>
      <c r="N28" s="9"/>
    </row>
    <row r="29" spans="1:14" ht="15" customHeight="1">
      <c r="A29" s="5" t="s">
        <v>8</v>
      </c>
      <c r="B29" s="33">
        <v>38</v>
      </c>
      <c r="C29" s="112">
        <v>38</v>
      </c>
      <c r="D29" s="5" t="s">
        <v>46</v>
      </c>
      <c r="G29" s="59" t="s">
        <v>422</v>
      </c>
      <c r="H29" s="95"/>
      <c r="I29" s="103">
        <f>SUM(I27:I28)</f>
        <v>200504.81307165473</v>
      </c>
      <c r="J29" s="90"/>
      <c r="K29" s="48"/>
      <c r="L29" s="48"/>
      <c r="M29" s="55"/>
      <c r="N29" s="9"/>
    </row>
    <row r="30" spans="1:14" ht="15" customHeight="1">
      <c r="A30" s="5" t="s">
        <v>9</v>
      </c>
      <c r="B30" s="33">
        <v>16</v>
      </c>
      <c r="C30" s="112">
        <v>16</v>
      </c>
      <c r="D30" s="5" t="s">
        <v>46</v>
      </c>
      <c r="G30" s="96" t="s">
        <v>414</v>
      </c>
      <c r="H30" s="9"/>
      <c r="I30" s="104">
        <f>IF($B$106=1,I135,J135)</f>
        <v>0</v>
      </c>
      <c r="J30" s="90" t="s">
        <v>426</v>
      </c>
      <c r="K30" s="48"/>
      <c r="L30" s="48"/>
      <c r="M30" s="55"/>
      <c r="N30" s="9"/>
    </row>
    <row r="31" spans="1:14" ht="15" customHeight="1">
      <c r="A31" s="5" t="s">
        <v>330</v>
      </c>
      <c r="B31" s="9"/>
      <c r="C31" s="21">
        <f>Vee!N16</f>
        <v>2957.3875181422354</v>
      </c>
      <c r="D31" s="5" t="s">
        <v>331</v>
      </c>
      <c r="G31" s="96" t="s">
        <v>423</v>
      </c>
      <c r="H31" s="9"/>
      <c r="I31" s="104">
        <f>IF($B$106=1,I136,J136)</f>
        <v>0</v>
      </c>
      <c r="J31" s="90" t="s">
        <v>426</v>
      </c>
      <c r="K31" s="48"/>
      <c r="L31" s="48"/>
      <c r="M31" s="55"/>
      <c r="N31" s="9"/>
    </row>
    <row r="32" spans="1:14" ht="15" customHeight="1" thickBot="1">
      <c r="A32" s="66" t="s">
        <v>424</v>
      </c>
      <c r="G32" s="97" t="s">
        <v>28</v>
      </c>
      <c r="H32" s="98"/>
      <c r="I32" s="105">
        <f>I29-I30-I31</f>
        <v>200504.81307165473</v>
      </c>
      <c r="J32" s="99"/>
      <c r="K32" s="62"/>
      <c r="L32" s="62"/>
      <c r="M32" s="63"/>
      <c r="N32" s="9"/>
    </row>
    <row r="33" ht="15" customHeight="1">
      <c r="F33" s="67"/>
    </row>
    <row r="34" spans="1:6" ht="15" customHeight="1">
      <c r="A34" s="11" t="s">
        <v>12</v>
      </c>
      <c r="F34" s="67"/>
    </row>
    <row r="35" spans="1:6" ht="15" customHeight="1">
      <c r="A35" s="5" t="s">
        <v>309</v>
      </c>
      <c r="B35" s="33">
        <v>2405</v>
      </c>
      <c r="C35" s="125" t="s">
        <v>455</v>
      </c>
      <c r="D35" s="126"/>
      <c r="E35" s="5" t="s">
        <v>46</v>
      </c>
      <c r="F35" s="66" t="s">
        <v>323</v>
      </c>
    </row>
    <row r="36" spans="1:6" ht="15" customHeight="1">
      <c r="A36" s="5" t="s">
        <v>310</v>
      </c>
      <c r="B36" s="33">
        <v>2595</v>
      </c>
      <c r="C36" s="125" t="s">
        <v>456</v>
      </c>
      <c r="D36" s="126"/>
      <c r="E36" s="5" t="s">
        <v>46</v>
      </c>
      <c r="F36" s="66" t="s">
        <v>323</v>
      </c>
    </row>
    <row r="37" spans="1:6" ht="15" customHeight="1">
      <c r="A37" s="5" t="s">
        <v>11</v>
      </c>
      <c r="B37" s="33">
        <v>600</v>
      </c>
      <c r="C37" s="113">
        <v>627</v>
      </c>
      <c r="D37" s="19" t="s">
        <v>47</v>
      </c>
      <c r="F37" s="67"/>
    </row>
    <row r="38" spans="1:6" ht="15" customHeight="1">
      <c r="A38" s="7"/>
      <c r="F38" s="67"/>
    </row>
    <row r="39" spans="1:6" ht="15" customHeight="1">
      <c r="A39" s="11" t="s">
        <v>133</v>
      </c>
      <c r="F39" s="67"/>
    </row>
    <row r="40" spans="1:6" ht="15" customHeight="1">
      <c r="A40" s="10" t="s">
        <v>369</v>
      </c>
      <c r="B40" s="33">
        <v>12</v>
      </c>
      <c r="C40" s="111">
        <v>15</v>
      </c>
      <c r="D40" s="5" t="s">
        <v>48</v>
      </c>
      <c r="F40" s="66" t="s">
        <v>368</v>
      </c>
    </row>
    <row r="41" spans="3:6" ht="15" customHeight="1">
      <c r="C41" s="19"/>
      <c r="F41" s="67"/>
    </row>
    <row r="42" spans="1:6" ht="15" customHeight="1">
      <c r="A42" s="11" t="s">
        <v>50</v>
      </c>
      <c r="C42" s="19"/>
      <c r="F42" s="66" t="s">
        <v>337</v>
      </c>
    </row>
    <row r="43" spans="1:9" ht="15" customHeight="1">
      <c r="A43" s="10" t="s">
        <v>14</v>
      </c>
      <c r="B43" s="33">
        <v>22</v>
      </c>
      <c r="C43" s="111">
        <v>27</v>
      </c>
      <c r="D43" s="5" t="s">
        <v>49</v>
      </c>
      <c r="F43" s="6"/>
      <c r="G43" s="6" t="s">
        <v>352</v>
      </c>
      <c r="H43" s="47">
        <f>'Arbeid+installaties'!M21</f>
        <v>1751.44412191582</v>
      </c>
      <c r="I43" s="5" t="s">
        <v>353</v>
      </c>
    </row>
    <row r="44" spans="3:9" ht="15" customHeight="1">
      <c r="C44" s="19"/>
      <c r="F44" s="6"/>
      <c r="G44" s="6" t="s">
        <v>332</v>
      </c>
      <c r="H44" s="47">
        <f>'Arbeid+installaties'!M31</f>
        <v>48121.631320754714</v>
      </c>
      <c r="I44" s="5" t="s">
        <v>51</v>
      </c>
    </row>
    <row r="45" spans="1:3" ht="15" customHeight="1">
      <c r="A45" s="11" t="s">
        <v>432</v>
      </c>
      <c r="C45" s="19"/>
    </row>
    <row r="46" spans="1:4" ht="15">
      <c r="A46" s="5" t="s">
        <v>400</v>
      </c>
      <c r="B46" s="33">
        <f>C46</f>
        <v>0.73</v>
      </c>
      <c r="C46" s="111">
        <v>0.73</v>
      </c>
      <c r="D46" s="5" t="s">
        <v>401</v>
      </c>
    </row>
    <row r="47" ht="15"/>
    <row r="48" ht="15" hidden="1"/>
    <row r="49" ht="15" hidden="1"/>
    <row r="50" ht="15" hidden="1"/>
    <row r="51" ht="15" hidden="1"/>
    <row r="52" spans="3:7" ht="15" hidden="1">
      <c r="C52" s="34"/>
      <c r="G52" s="16" t="s">
        <v>447</v>
      </c>
    </row>
    <row r="53" spans="7:8" ht="15" hidden="1">
      <c r="G53" s="16" t="s">
        <v>448</v>
      </c>
      <c r="H53" s="16" t="s">
        <v>449</v>
      </c>
    </row>
    <row r="54" spans="2:15" ht="15" hidden="1">
      <c r="B54" s="5" t="s">
        <v>37</v>
      </c>
      <c r="C54" s="34">
        <v>3</v>
      </c>
      <c r="E54" s="6" t="s">
        <v>124</v>
      </c>
      <c r="F54" s="6" t="s">
        <v>125</v>
      </c>
      <c r="G54" s="5" t="s">
        <v>159</v>
      </c>
      <c r="H54" s="5" t="s">
        <v>162</v>
      </c>
      <c r="J54" s="5" t="s">
        <v>160</v>
      </c>
      <c r="K54" s="5"/>
      <c r="L54" s="6" t="s">
        <v>190</v>
      </c>
      <c r="M54" s="5" t="s">
        <v>440</v>
      </c>
      <c r="N54" s="5" t="s">
        <v>441</v>
      </c>
      <c r="O54" s="5" t="s">
        <v>436</v>
      </c>
    </row>
    <row r="55" spans="1:15" ht="15" hidden="1">
      <c r="A55" s="5" t="s">
        <v>31</v>
      </c>
      <c r="D55" s="34">
        <f>IF($C$54=1,"*",0)</f>
        <v>0</v>
      </c>
      <c r="E55" s="5">
        <v>9500</v>
      </c>
      <c r="F55" s="5">
        <v>12500</v>
      </c>
      <c r="G55" s="16">
        <v>258</v>
      </c>
      <c r="H55" s="16">
        <v>185</v>
      </c>
      <c r="I55" s="16"/>
      <c r="J55" s="16">
        <v>215</v>
      </c>
      <c r="K55" s="5"/>
      <c r="L55" s="106">
        <v>250</v>
      </c>
      <c r="M55" s="16">
        <f>IF(Mest!F47=2,112,140)</f>
        <v>112</v>
      </c>
      <c r="N55" s="16">
        <f>IF(Mest!F47=2,112,140)</f>
        <v>112</v>
      </c>
      <c r="O55" s="5">
        <v>230</v>
      </c>
    </row>
    <row r="56" spans="1:15" ht="15" hidden="1">
      <c r="A56" s="5" t="s">
        <v>32</v>
      </c>
      <c r="D56" s="34">
        <f>IF($C$54=2,"*",0)</f>
        <v>0</v>
      </c>
      <c r="E56" s="5">
        <v>11000</v>
      </c>
      <c r="F56" s="5">
        <v>14500</v>
      </c>
      <c r="G56" s="16">
        <v>258</v>
      </c>
      <c r="H56" s="16">
        <v>185</v>
      </c>
      <c r="I56" s="16"/>
      <c r="J56" s="16">
        <v>215</v>
      </c>
      <c r="K56" s="5"/>
      <c r="L56" s="106">
        <v>250</v>
      </c>
      <c r="M56" s="16">
        <f>IF(Mest!F47=2,112,140)</f>
        <v>112</v>
      </c>
      <c r="N56" s="16">
        <f>IF(Mest!F47=2,112,140)</f>
        <v>112</v>
      </c>
      <c r="O56" s="5">
        <v>230</v>
      </c>
    </row>
    <row r="57" spans="1:15" ht="15" hidden="1">
      <c r="A57" s="5" t="s">
        <v>33</v>
      </c>
      <c r="D57" s="35" t="str">
        <f>IF($C$54=3,"*",0)</f>
        <v>*</v>
      </c>
      <c r="E57" s="5">
        <v>12500</v>
      </c>
      <c r="F57" s="5">
        <v>15500</v>
      </c>
      <c r="G57" s="16">
        <v>258</v>
      </c>
      <c r="H57" s="16">
        <v>185</v>
      </c>
      <c r="I57" s="16"/>
      <c r="J57" s="16">
        <v>215</v>
      </c>
      <c r="K57" s="5"/>
      <c r="L57" s="106">
        <v>250</v>
      </c>
      <c r="M57" s="16">
        <f>IF(Mest!F47=2,112,140)</f>
        <v>112</v>
      </c>
      <c r="N57" s="16">
        <f>IF(Mest!F47=2,112,140)</f>
        <v>112</v>
      </c>
      <c r="O57" s="5">
        <v>230</v>
      </c>
    </row>
    <row r="58" spans="1:15" ht="15" hidden="1">
      <c r="A58" s="5" t="s">
        <v>34</v>
      </c>
      <c r="D58" s="34">
        <f>IF($C$54=4,"*",0)</f>
        <v>0</v>
      </c>
      <c r="E58" s="5">
        <v>11000</v>
      </c>
      <c r="F58" s="5">
        <v>14500</v>
      </c>
      <c r="G58" s="16">
        <v>308</v>
      </c>
      <c r="H58" s="16">
        <v>230</v>
      </c>
      <c r="I58" s="16"/>
      <c r="J58" s="16">
        <v>135</v>
      </c>
      <c r="K58" s="5"/>
      <c r="L58" s="106">
        <v>265</v>
      </c>
      <c r="M58" s="16">
        <v>150</v>
      </c>
      <c r="N58" s="16">
        <v>150</v>
      </c>
      <c r="O58" s="5">
        <v>250</v>
      </c>
    </row>
    <row r="59" spans="1:15" ht="15" hidden="1">
      <c r="A59" s="5" t="s">
        <v>35</v>
      </c>
      <c r="D59" s="34">
        <f>IF($C$54=5,"*",0)</f>
        <v>0</v>
      </c>
      <c r="E59" s="5">
        <v>10000</v>
      </c>
      <c r="F59" s="5">
        <v>13500</v>
      </c>
      <c r="G59" s="16">
        <v>308</v>
      </c>
      <c r="H59" s="16">
        <v>230</v>
      </c>
      <c r="I59" s="16"/>
      <c r="J59" s="16">
        <v>135</v>
      </c>
      <c r="K59" s="5"/>
      <c r="L59" s="106">
        <v>345</v>
      </c>
      <c r="M59" s="16">
        <v>160</v>
      </c>
      <c r="N59" s="16">
        <v>185</v>
      </c>
      <c r="O59" s="5">
        <v>250</v>
      </c>
    </row>
    <row r="60" spans="1:15" ht="15" hidden="1">
      <c r="A60" s="5" t="s">
        <v>36</v>
      </c>
      <c r="D60" s="34">
        <f>IF($C$54=6,"*",0)</f>
        <v>0</v>
      </c>
      <c r="E60" s="5">
        <v>14000</v>
      </c>
      <c r="F60" s="5">
        <v>16500</v>
      </c>
      <c r="G60" s="16">
        <v>308</v>
      </c>
      <c r="H60" s="16">
        <v>230</v>
      </c>
      <c r="I60" s="16"/>
      <c r="J60" s="16">
        <v>135</v>
      </c>
      <c r="K60" s="5"/>
      <c r="L60" s="106">
        <v>345</v>
      </c>
      <c r="M60" s="16">
        <v>160</v>
      </c>
      <c r="N60" s="16">
        <v>185</v>
      </c>
      <c r="O60" s="5">
        <v>250</v>
      </c>
    </row>
    <row r="61" ht="15" hidden="1">
      <c r="J61" s="108" t="s">
        <v>446</v>
      </c>
    </row>
    <row r="62" ht="15" hidden="1">
      <c r="A62" s="5" t="s">
        <v>40</v>
      </c>
    </row>
    <row r="63" spans="1:3" ht="15" hidden="1">
      <c r="A63" s="5" t="s">
        <v>38</v>
      </c>
      <c r="B63" s="5" t="s">
        <v>37</v>
      </c>
      <c r="C63" s="34">
        <v>1</v>
      </c>
    </row>
    <row r="64" ht="15" hidden="1">
      <c r="A64" s="5" t="s">
        <v>39</v>
      </c>
    </row>
    <row r="65" ht="15" hidden="1">
      <c r="A65" s="5" t="s">
        <v>41</v>
      </c>
    </row>
    <row r="66" spans="1:3" ht="15" hidden="1">
      <c r="A66" s="5" t="s">
        <v>38</v>
      </c>
      <c r="B66" s="5" t="s">
        <v>37</v>
      </c>
      <c r="C66" s="34">
        <v>2</v>
      </c>
    </row>
    <row r="67" ht="15" hidden="1">
      <c r="A67" s="5" t="s">
        <v>39</v>
      </c>
    </row>
    <row r="68" ht="15" hidden="1"/>
    <row r="69" ht="15" hidden="1"/>
    <row r="70" ht="15" hidden="1">
      <c r="C70" s="34"/>
    </row>
    <row r="71" ht="15" hidden="1"/>
    <row r="72" ht="15" hidden="1"/>
    <row r="73" spans="1:3" ht="15" hidden="1">
      <c r="A73" s="5" t="s">
        <v>54</v>
      </c>
      <c r="B73" s="5">
        <v>1</v>
      </c>
      <c r="C73" s="43" t="s">
        <v>312</v>
      </c>
    </row>
    <row r="74" spans="2:3" ht="15" hidden="1">
      <c r="B74" s="5">
        <f aca="true" t="shared" si="2" ref="B74:B81">B73+1</f>
        <v>2</v>
      </c>
      <c r="C74" s="43" t="s">
        <v>313</v>
      </c>
    </row>
    <row r="75" spans="2:3" ht="15" hidden="1">
      <c r="B75" s="5">
        <f t="shared" si="2"/>
        <v>3</v>
      </c>
      <c r="C75" s="43" t="s">
        <v>314</v>
      </c>
    </row>
    <row r="76" spans="2:3" ht="15" hidden="1">
      <c r="B76" s="5">
        <f t="shared" si="2"/>
        <v>4</v>
      </c>
      <c r="C76" s="43" t="s">
        <v>315</v>
      </c>
    </row>
    <row r="77" spans="2:3" ht="15" hidden="1">
      <c r="B77" s="5">
        <f t="shared" si="2"/>
        <v>5</v>
      </c>
      <c r="C77" s="43" t="s">
        <v>316</v>
      </c>
    </row>
    <row r="78" spans="2:3" ht="15" hidden="1">
      <c r="B78" s="5">
        <f t="shared" si="2"/>
        <v>6</v>
      </c>
      <c r="C78" s="43" t="s">
        <v>317</v>
      </c>
    </row>
    <row r="79" spans="2:3" ht="15" hidden="1">
      <c r="B79" s="5">
        <f t="shared" si="2"/>
        <v>7</v>
      </c>
      <c r="C79" s="43" t="s">
        <v>318</v>
      </c>
    </row>
    <row r="80" spans="2:3" ht="15" hidden="1">
      <c r="B80" s="5">
        <f t="shared" si="2"/>
        <v>8</v>
      </c>
      <c r="C80" s="43" t="s">
        <v>319</v>
      </c>
    </row>
    <row r="81" spans="2:3" ht="15" hidden="1">
      <c r="B81" s="5">
        <f t="shared" si="2"/>
        <v>9</v>
      </c>
      <c r="C81" s="43" t="s">
        <v>320</v>
      </c>
    </row>
    <row r="82" ht="15" hidden="1">
      <c r="C82" s="43"/>
    </row>
    <row r="83" ht="15" hidden="1">
      <c r="C83" s="43"/>
    </row>
    <row r="84" ht="15" hidden="1">
      <c r="C84" s="43"/>
    </row>
    <row r="85" ht="15" hidden="1">
      <c r="C85" s="43"/>
    </row>
    <row r="86" ht="15" hidden="1">
      <c r="C86" s="43"/>
    </row>
    <row r="87" ht="15" hidden="1">
      <c r="C87" s="43"/>
    </row>
    <row r="88" ht="15" hidden="1">
      <c r="C88" s="43"/>
    </row>
    <row r="89" ht="15" hidden="1">
      <c r="C89" s="43"/>
    </row>
    <row r="90" ht="15" hidden="1">
      <c r="C90" s="43"/>
    </row>
    <row r="91" ht="15" hidden="1">
      <c r="C91" s="43"/>
    </row>
    <row r="92" ht="15" hidden="1">
      <c r="C92" s="43"/>
    </row>
    <row r="93" ht="15" hidden="1">
      <c r="C93" s="43"/>
    </row>
    <row r="94" ht="15" hidden="1">
      <c r="C94" s="43"/>
    </row>
    <row r="95" ht="15" hidden="1">
      <c r="C95" s="43"/>
    </row>
    <row r="96" ht="15" hidden="1">
      <c r="C96" s="43"/>
    </row>
    <row r="97" ht="15" hidden="1">
      <c r="C97" s="43"/>
    </row>
    <row r="98" ht="15" hidden="1">
      <c r="B98" s="42"/>
    </row>
    <row r="99" spans="2:3" ht="15" hidden="1">
      <c r="B99" s="5" t="s">
        <v>37</v>
      </c>
      <c r="C99" s="34">
        <v>4</v>
      </c>
    </row>
    <row r="100" ht="15" hidden="1"/>
    <row r="101" ht="15" hidden="1"/>
    <row r="102" ht="15" hidden="1"/>
    <row r="103" ht="15" hidden="1" thickBot="1"/>
    <row r="104" spans="1:14" ht="18" hidden="1">
      <c r="A104" s="5" t="s">
        <v>409</v>
      </c>
      <c r="G104" s="50" t="s">
        <v>15</v>
      </c>
      <c r="H104" s="51"/>
      <c r="I104" s="51"/>
      <c r="J104" s="52"/>
      <c r="K104" s="52"/>
      <c r="L104" s="52"/>
      <c r="M104" s="53"/>
      <c r="N104" s="9"/>
    </row>
    <row r="105" spans="1:14" ht="15" hidden="1">
      <c r="A105" s="5" t="s">
        <v>410</v>
      </c>
      <c r="G105" s="54"/>
      <c r="H105" s="9"/>
      <c r="I105" s="124" t="s">
        <v>375</v>
      </c>
      <c r="J105" s="123"/>
      <c r="K105" s="124" t="s">
        <v>363</v>
      </c>
      <c r="L105" s="123"/>
      <c r="M105" s="55"/>
      <c r="N105" s="9"/>
    </row>
    <row r="106" spans="1:14" ht="15" hidden="1">
      <c r="A106" s="5" t="s">
        <v>412</v>
      </c>
      <c r="B106" s="34">
        <v>1</v>
      </c>
      <c r="G106" s="56"/>
      <c r="H106" s="9"/>
      <c r="I106" s="48" t="s">
        <v>236</v>
      </c>
      <c r="J106" s="48" t="s">
        <v>237</v>
      </c>
      <c r="K106" s="48" t="s">
        <v>236</v>
      </c>
      <c r="L106" s="48" t="s">
        <v>237</v>
      </c>
      <c r="M106" s="55"/>
      <c r="N106" s="9"/>
    </row>
    <row r="107" spans="7:14" ht="15" hidden="1">
      <c r="G107" s="59" t="s">
        <v>28</v>
      </c>
      <c r="H107" s="9"/>
      <c r="I107" s="39">
        <f>I111+I114+I121+I122+I123+I124+I125+I126+I127+I128+I129+I130</f>
        <v>2042.8433263122313</v>
      </c>
      <c r="J107" s="39">
        <f>J111+J114+J121+J122+J123+J124+J125+J126+J127+J128+J129+J130</f>
        <v>2181.227685017618</v>
      </c>
      <c r="K107" s="40">
        <f>K111+K114+K121+K122+K123+K124+K125+K126+K127+K128+K129+K130</f>
        <v>2.7368672452547473</v>
      </c>
      <c r="L107" s="40">
        <f>L111+L114+L121+L122+L123+L124+L125+L126+L127+L128+L129+L130</f>
        <v>2.922265515263081</v>
      </c>
      <c r="M107" s="55"/>
      <c r="N107" s="9"/>
    </row>
    <row r="108" spans="7:14" ht="15" hidden="1">
      <c r="G108" s="54" t="s">
        <v>29</v>
      </c>
      <c r="H108" s="9"/>
      <c r="I108" s="32">
        <f>I107-I127</f>
        <v>1545.4163471198387</v>
      </c>
      <c r="J108" s="32">
        <f>J107-J127</f>
        <v>1683.8007058252256</v>
      </c>
      <c r="K108" s="30">
        <f>K107-K127</f>
        <v>2.0704472664327414</v>
      </c>
      <c r="L108" s="30">
        <f>L107-L127</f>
        <v>2.2558455364410746</v>
      </c>
      <c r="M108" s="55"/>
      <c r="N108" s="9"/>
    </row>
    <row r="109" spans="7:14" ht="15" hidden="1">
      <c r="G109" s="54"/>
      <c r="H109" s="9"/>
      <c r="I109" s="9"/>
      <c r="J109" s="48"/>
      <c r="K109" s="48"/>
      <c r="L109" s="48"/>
      <c r="M109" s="55"/>
      <c r="N109" s="9"/>
    </row>
    <row r="110" spans="7:14" ht="15" hidden="1">
      <c r="G110" s="59" t="s">
        <v>392</v>
      </c>
      <c r="H110" s="9"/>
      <c r="I110" s="9"/>
      <c r="J110" s="48"/>
      <c r="K110" s="48"/>
      <c r="L110" s="48"/>
      <c r="M110" s="55"/>
      <c r="N110" s="9"/>
    </row>
    <row r="111" spans="7:14" ht="15" hidden="1">
      <c r="G111" s="54" t="s">
        <v>16</v>
      </c>
      <c r="H111" s="9"/>
      <c r="I111" s="32">
        <f>I112+I113</f>
        <v>396.03697140228405</v>
      </c>
      <c r="J111" s="32">
        <f>I111*1.06</f>
        <v>419.79918968642113</v>
      </c>
      <c r="K111" s="30">
        <f>I111/('Algemeen en dieraantallen'!$B$8+'Algemeen en dieraantallen'!$B$9)</f>
        <v>0.5305843091244177</v>
      </c>
      <c r="L111" s="30">
        <f>J111/('Algemeen en dieraantallen'!$B$8+'Algemeen en dieraantallen'!$B$9)</f>
        <v>0.5624193676718827</v>
      </c>
      <c r="M111" s="55"/>
      <c r="N111" s="9"/>
    </row>
    <row r="112" spans="7:14" ht="15" hidden="1">
      <c r="G112" s="57" t="s">
        <v>17</v>
      </c>
      <c r="H112" s="9"/>
      <c r="I112" s="32">
        <f>(Rantsoen!L5+Rantsoen!L15+Rantsoen!L16)/'Algemeen en dieraantallen'!B16</f>
        <v>173.0511500732825</v>
      </c>
      <c r="J112" s="32">
        <f>I112*1.06</f>
        <v>183.43421907767947</v>
      </c>
      <c r="K112" s="30">
        <f>I112/('Algemeen en dieraantallen'!$B$8+'Algemeen en dieraantallen'!$B$9)</f>
        <v>0.23184255899066544</v>
      </c>
      <c r="L112" s="30">
        <f>J112/('Algemeen en dieraantallen'!$B$8+'Algemeen en dieraantallen'!$B$9)</f>
        <v>0.24575311253010537</v>
      </c>
      <c r="M112" s="55"/>
      <c r="N112" s="9"/>
    </row>
    <row r="113" spans="7:14" ht="15" hidden="1">
      <c r="G113" s="57" t="s">
        <v>18</v>
      </c>
      <c r="H113" s="9"/>
      <c r="I113" s="32">
        <f>IF(Ruwvoer!G20&gt;0,Ruwvoer!G20/'Algemeen en dieraantallen'!B16,0)</f>
        <v>222.98582132900157</v>
      </c>
      <c r="J113" s="32">
        <f>I113*1.06</f>
        <v>236.3649706087417</v>
      </c>
      <c r="K113" s="30">
        <f>I113/('Algemeen en dieraantallen'!$B$8+'Algemeen en dieraantallen'!$B$9)</f>
        <v>0.29874175013375226</v>
      </c>
      <c r="L113" s="30">
        <f>J113/('Algemeen en dieraantallen'!$B$8+'Algemeen en dieraantallen'!$B$9)</f>
        <v>0.31666625514177743</v>
      </c>
      <c r="M113" s="55"/>
      <c r="N113" s="9"/>
    </row>
    <row r="114" spans="7:14" ht="15" hidden="1">
      <c r="G114" s="54" t="s">
        <v>7</v>
      </c>
      <c r="H114" s="9"/>
      <c r="I114" s="32">
        <f>SUM(I115:I120)</f>
        <v>187.72979521298083</v>
      </c>
      <c r="J114" s="32">
        <f>SUM(J115:J120)</f>
        <v>199.97936460225506</v>
      </c>
      <c r="K114" s="30">
        <f>I114/('Algemeen en dieraantallen'!$B$8+'Algemeen en dieraantallen'!$B$9)</f>
        <v>0.2515080431568349</v>
      </c>
      <c r="L114" s="30">
        <f>J114/('Algemeen en dieraantallen'!$B$8+'Algemeen en dieraantallen'!$B$9)</f>
        <v>0.2679192112567892</v>
      </c>
      <c r="M114" s="55"/>
      <c r="N114" s="9"/>
    </row>
    <row r="115" spans="7:14" ht="15" hidden="1">
      <c r="G115" s="57" t="s">
        <v>19</v>
      </c>
      <c r="H115" s="9"/>
      <c r="I115" s="32">
        <f>Vee!N3/'Algemeen en dieraantallen'!B16</f>
        <v>54.465845749039254</v>
      </c>
      <c r="J115" s="32">
        <f>I115/2*1.06+I115/2*1.19</f>
        <v>61.27407646766916</v>
      </c>
      <c r="K115" s="30">
        <f>I115/('Algemeen en dieraantallen'!$B$8+'Algemeen en dieraantallen'!$B$9)</f>
        <v>0.07296976096778733</v>
      </c>
      <c r="L115" s="30">
        <f>J115/('Algemeen en dieraantallen'!$B$8+'Algemeen en dieraantallen'!$B$9)</f>
        <v>0.08209098108876074</v>
      </c>
      <c r="M115" s="55"/>
      <c r="N115" s="9"/>
    </row>
    <row r="116" spans="7:14" ht="15" hidden="1">
      <c r="G116" s="57" t="s">
        <v>20</v>
      </c>
      <c r="H116" s="9"/>
      <c r="I116" s="32">
        <f>Vee!N8/'Algemeen en dieraantallen'!B16</f>
        <v>40.48862679022747</v>
      </c>
      <c r="J116" s="32">
        <f>I116*1.06</f>
        <v>42.91794439764112</v>
      </c>
      <c r="K116" s="30">
        <f>I116/('Algemeen en dieraantallen'!$B$8+'Algemeen en dieraantallen'!$B$9)</f>
        <v>0.054244001505272935</v>
      </c>
      <c r="L116" s="30">
        <f>J116/('Algemeen en dieraantallen'!$B$8+'Algemeen en dieraantallen'!$B$9)</f>
        <v>0.05749864159558932</v>
      </c>
      <c r="M116" s="55"/>
      <c r="N116" s="9"/>
    </row>
    <row r="117" spans="7:14" ht="15" hidden="1">
      <c r="G117" s="57" t="s">
        <v>211</v>
      </c>
      <c r="H117" s="9"/>
      <c r="I117" s="32">
        <f>Vee!N11/'Algemeen en dieraantallen'!B16</f>
        <v>14.368247337018616</v>
      </c>
      <c r="J117" s="32">
        <f>I117*1.06</f>
        <v>15.230342177239734</v>
      </c>
      <c r="K117" s="30">
        <f>I117/('Algemeen en dieraantallen'!$B$8+'Algemeen en dieraantallen'!$B$9)</f>
        <v>0.01924963358761007</v>
      </c>
      <c r="L117" s="30">
        <f>J117/('Algemeen en dieraantallen'!$B$8+'Algemeen en dieraantallen'!$B$9)</f>
        <v>0.020404611602866676</v>
      </c>
      <c r="M117" s="55"/>
      <c r="N117" s="9"/>
    </row>
    <row r="118" spans="7:14" ht="15" hidden="1">
      <c r="G118" s="57" t="s">
        <v>22</v>
      </c>
      <c r="H118" s="9"/>
      <c r="I118" s="32">
        <f>Vee!N16/'Algemeen en dieraantallen'!B16</f>
        <v>30.570126138186524</v>
      </c>
      <c r="J118" s="32">
        <f>I118*1.06</f>
        <v>32.404333706477715</v>
      </c>
      <c r="K118" s="30">
        <f>I118/('Algemeen en dieraantallen'!$B$8+'Algemeen en dieraantallen'!$B$9)</f>
        <v>0.04095584611569033</v>
      </c>
      <c r="L118" s="30">
        <f>J118/('Algemeen en dieraantallen'!$B$8+'Algemeen en dieraantallen'!$B$9)</f>
        <v>0.043413196882631754</v>
      </c>
      <c r="M118" s="55"/>
      <c r="N118" s="9"/>
    </row>
    <row r="119" spans="7:14" ht="15" hidden="1">
      <c r="G119" s="57" t="s">
        <v>21</v>
      </c>
      <c r="H119" s="9"/>
      <c r="I119" s="32">
        <f>Vee!N20/'Algemeen en dieraantallen'!B16</f>
        <v>46.17527206841237</v>
      </c>
      <c r="J119" s="32">
        <f>I119</f>
        <v>46.17527206841237</v>
      </c>
      <c r="K119" s="30">
        <f>I119/('Algemeen en dieraantallen'!$B$8+'Algemeen en dieraantallen'!$B$9)</f>
        <v>0.061862595156966446</v>
      </c>
      <c r="L119" s="30">
        <f>J119/('Algemeen en dieraantallen'!$B$8+'Algemeen en dieraantallen'!$B$9)</f>
        <v>0.061862595156966446</v>
      </c>
      <c r="M119" s="55"/>
      <c r="N119" s="9"/>
    </row>
    <row r="120" spans="7:14" ht="15" hidden="1">
      <c r="G120" s="57" t="s">
        <v>202</v>
      </c>
      <c r="H120" s="9"/>
      <c r="I120" s="32">
        <f>Vee!N26/'Algemeen en dieraantallen'!B16</f>
        <v>1.6616771300965945</v>
      </c>
      <c r="J120" s="32">
        <f>I120*1.19</f>
        <v>1.9773957848149473</v>
      </c>
      <c r="K120" s="30">
        <f>I120/('Algemeen en dieraantallen'!$B$8+'Algemeen en dieraantallen'!$B$9)</f>
        <v>0.0022262058235077743</v>
      </c>
      <c r="L120" s="30">
        <f>J120/('Algemeen en dieraantallen'!$B$8+'Algemeen en dieraantallen'!$B$9)</f>
        <v>0.0026491849299742514</v>
      </c>
      <c r="M120" s="55"/>
      <c r="N120" s="9"/>
    </row>
    <row r="121" spans="7:14" ht="15" hidden="1">
      <c r="G121" s="54" t="s">
        <v>23</v>
      </c>
      <c r="H121" s="9"/>
      <c r="I121" s="32">
        <f>(Ruwvoer!J8+Ruwvoer!J15)/'Algemeen en dieraantallen'!B16</f>
        <v>108.21341607598298</v>
      </c>
      <c r="J121" s="32">
        <f>I121*1.06</f>
        <v>114.70622104054196</v>
      </c>
      <c r="K121" s="30">
        <f>I121/('Algemeen en dieraantallen'!$B$8+'Algemeen en dieraantallen'!$B$9)</f>
        <v>0.14497722372577826</v>
      </c>
      <c r="L121" s="30">
        <f>J121/('Algemeen en dieraantallen'!$B$8+'Algemeen en dieraantallen'!$B$9)</f>
        <v>0.15367585714932494</v>
      </c>
      <c r="M121" s="55"/>
      <c r="N121" s="9"/>
    </row>
    <row r="122" spans="7:14" ht="15" hidden="1">
      <c r="G122" s="54" t="s">
        <v>24</v>
      </c>
      <c r="H122" s="9"/>
      <c r="I122" s="32">
        <f>(Ruwvoer!B34+Ruwvoer!J34)/'Algemeen en dieraantallen'!B16</f>
        <v>132.43073053765315</v>
      </c>
      <c r="J122" s="32">
        <f>I122*1.06</f>
        <v>140.37657436991233</v>
      </c>
      <c r="K122" s="30">
        <f>I122/('Algemeen en dieraantallen'!$B$8+'Algemeen en dieraantallen'!$B$9)</f>
        <v>0.17742199022572713</v>
      </c>
      <c r="L122" s="30">
        <f>J122/('Algemeen en dieraantallen'!$B$8+'Algemeen en dieraantallen'!$B$9)</f>
        <v>0.18806730963927074</v>
      </c>
      <c r="M122" s="55"/>
      <c r="N122" s="9"/>
    </row>
    <row r="123" spans="7:14" ht="15" hidden="1">
      <c r="G123" s="54" t="s">
        <v>25</v>
      </c>
      <c r="H123" s="9"/>
      <c r="I123" s="32">
        <f>'Arbeid+installaties'!M11/'Algemeen en dieraantallen'!B16</f>
        <v>0</v>
      </c>
      <c r="J123" s="32">
        <f>I123*1.19</f>
        <v>0</v>
      </c>
      <c r="K123" s="30">
        <f>I123/('Algemeen en dieraantallen'!$B$8+'Algemeen en dieraantallen'!$B$9)</f>
        <v>0</v>
      </c>
      <c r="L123" s="30">
        <f>J123/('Algemeen en dieraantallen'!$B$8+'Algemeen en dieraantallen'!$B$9)</f>
        <v>0</v>
      </c>
      <c r="M123" s="55"/>
      <c r="N123" s="9"/>
    </row>
    <row r="124" spans="7:14" ht="15" hidden="1">
      <c r="G124" s="54" t="s">
        <v>10</v>
      </c>
      <c r="H124" s="9"/>
      <c r="I124" s="32">
        <f>'Grond en gebouwen'!L17/'Algemeen en dieraantallen'!B16</f>
        <v>349.65819494293197</v>
      </c>
      <c r="J124" s="32">
        <f>I124*1.19</f>
        <v>416.09325198208904</v>
      </c>
      <c r="K124" s="30">
        <f>I124/('Algemeen en dieraantallen'!$B$8+'Algemeen en dieraantallen'!$B$9)</f>
        <v>0.46844907215755094</v>
      </c>
      <c r="L124" s="30">
        <f>J124/('Algemeen en dieraantallen'!$B$8+'Algemeen en dieraantallen'!$B$9)</f>
        <v>0.5574543958674856</v>
      </c>
      <c r="M124" s="55"/>
      <c r="N124" s="9"/>
    </row>
    <row r="125" spans="7:14" ht="15" hidden="1">
      <c r="G125" s="54" t="s">
        <v>26</v>
      </c>
      <c r="H125" s="9"/>
      <c r="I125" s="32">
        <f>'Grond en gebouwen'!L5/'Algemeen en dieraantallen'!B16</f>
        <v>186.0636345800972</v>
      </c>
      <c r="J125" s="32">
        <f>I125</f>
        <v>186.0636345800972</v>
      </c>
      <c r="K125" s="30">
        <f>I125/('Algemeen en dieraantallen'!$B$8+'Algemeen en dieraantallen'!$B$9)</f>
        <v>0.24927583063092176</v>
      </c>
      <c r="L125" s="30">
        <f>J125/('Algemeen en dieraantallen'!$B$8+'Algemeen en dieraantallen'!$B$9)</f>
        <v>0.24927583063092176</v>
      </c>
      <c r="M125" s="55"/>
      <c r="N125" s="9"/>
    </row>
    <row r="126" spans="7:14" ht="15" hidden="1">
      <c r="G126" s="54" t="s">
        <v>27</v>
      </c>
      <c r="H126" s="9"/>
      <c r="I126" s="32">
        <f>IF(Mest!N20&gt;0,Mest!N20/'Algemeen en dieraantallen'!B16,0)</f>
        <v>62.39625204975866</v>
      </c>
      <c r="J126" s="32">
        <f>I126*1.06</f>
        <v>66.14002717274418</v>
      </c>
      <c r="K126" s="30">
        <f>I126/('Algemeen en dieraantallen'!$B$8+'Algemeen en dieraantallen'!$B$9)</f>
        <v>0.08359439819103538</v>
      </c>
      <c r="L126" s="30">
        <f>J126/('Algemeen en dieraantallen'!$B$8+'Algemeen en dieraantallen'!$B$9)</f>
        <v>0.08861006208249751</v>
      </c>
      <c r="M126" s="55"/>
      <c r="N126" s="9"/>
    </row>
    <row r="127" spans="7:14" ht="15" hidden="1">
      <c r="G127" s="54" t="s">
        <v>13</v>
      </c>
      <c r="H127" s="9"/>
      <c r="I127" s="32">
        <f>'Arbeid+installaties'!M31/'Algemeen en dieraantallen'!B16</f>
        <v>497.4269791923925</v>
      </c>
      <c r="J127" s="32">
        <f>I127</f>
        <v>497.4269791923925</v>
      </c>
      <c r="K127" s="30">
        <f>I127/('Algemeen en dieraantallen'!$B$8+'Algemeen en dieraantallen'!$B$9)</f>
        <v>0.6664199788220062</v>
      </c>
      <c r="L127" s="30">
        <f>J127/('Algemeen en dieraantallen'!$B$8+'Algemeen en dieraantallen'!$B$9)</f>
        <v>0.6664199788220062</v>
      </c>
      <c r="M127" s="55"/>
      <c r="N127" s="9"/>
    </row>
    <row r="128" spans="7:14" ht="15" hidden="1">
      <c r="G128" s="54" t="s">
        <v>324</v>
      </c>
      <c r="H128" s="9"/>
      <c r="I128" s="21">
        <f>'Algemeen en dieraantallen'!J12/'Algemeen en dieraantallen'!B16</f>
        <v>26.3858697533785</v>
      </c>
      <c r="J128" s="32">
        <f>I128*1.06</f>
        <v>27.96902193858121</v>
      </c>
      <c r="K128" s="30">
        <f>I128/('Algemeen en dieraantallen'!$B$8+'Algemeen en dieraantallen'!$B$9)</f>
        <v>0.035350054375409404</v>
      </c>
      <c r="L128" s="30">
        <f>J128/('Algemeen en dieraantallen'!$B$8+'Algemeen en dieraantallen'!$B$9)</f>
        <v>0.037471057637933965</v>
      </c>
      <c r="M128" s="55"/>
      <c r="N128" s="9"/>
    </row>
    <row r="129" spans="7:14" ht="15" hidden="1">
      <c r="G129" s="58" t="s">
        <v>362</v>
      </c>
      <c r="H129" s="9"/>
      <c r="I129" s="32">
        <f>('Water en energie'!M8+'Water en energie'!M21+'Water en energie'!M26)/'Algemeen en dieraantallen'!B16</f>
        <v>96.50148256477132</v>
      </c>
      <c r="J129" s="32">
        <f>('Water en energie'!M8*1.06+'Water en energie'!M21*1.19+'Water en energie'!M26*1.19)/'Algemeen en dieraantallen'!B16</f>
        <v>112.67342045258337</v>
      </c>
      <c r="K129" s="30">
        <f>I129/('Algemeen en dieraantallen'!$B$8+'Algemeen en dieraantallen'!$B$9)</f>
        <v>0.129286344845066</v>
      </c>
      <c r="L129" s="30">
        <f>J129/('Algemeen en dieraantallen'!$B$8+'Algemeen en dieraantallen'!$B$9)</f>
        <v>0.15095244450496825</v>
      </c>
      <c r="M129" s="55"/>
      <c r="N129" s="9"/>
    </row>
    <row r="130" spans="7:14" ht="15" hidden="1">
      <c r="G130" s="5" t="s">
        <v>454</v>
      </c>
      <c r="I130" s="21">
        <f>Mest!N41/'Algemeen en dieraantallen'!B16</f>
        <v>0</v>
      </c>
      <c r="J130" s="47">
        <f>I130</f>
        <v>0</v>
      </c>
      <c r="K130" s="109">
        <f>I130/('Algemeen en dieraantallen'!$B$8+'Algemeen en dieraantallen'!$B$9)</f>
        <v>0</v>
      </c>
      <c r="L130" s="109">
        <f>J130/('Algemeen en dieraantallen'!$B$8+'Algemeen en dieraantallen'!$B$9)</f>
        <v>0</v>
      </c>
      <c r="M130" s="55"/>
      <c r="N130" s="9"/>
    </row>
    <row r="131" spans="13:14" ht="15" hidden="1">
      <c r="M131" s="55"/>
      <c r="N131" s="9"/>
    </row>
    <row r="132" spans="7:14" ht="15" hidden="1">
      <c r="G132" s="54"/>
      <c r="H132" s="9"/>
      <c r="I132" s="9"/>
      <c r="J132" s="48"/>
      <c r="K132" s="48"/>
      <c r="L132" s="48"/>
      <c r="M132" s="55"/>
      <c r="N132" s="9"/>
    </row>
    <row r="133" spans="7:14" ht="15" hidden="1" thickBot="1">
      <c r="G133" s="60" t="s">
        <v>417</v>
      </c>
      <c r="H133" s="61"/>
      <c r="I133" s="61"/>
      <c r="J133" s="62"/>
      <c r="K133" s="62"/>
      <c r="L133" s="62"/>
      <c r="M133" s="63"/>
      <c r="N133" s="9"/>
    </row>
    <row r="134" spans="7:9" ht="15" hidden="1">
      <c r="G134" s="5" t="s">
        <v>416</v>
      </c>
      <c r="I134" s="89">
        <f>('Algemeen en dieraantallen'!B10+'Algemeen en dieraantallen'!B11)*'Algemeen en dieraantallen'!B17</f>
        <v>2877.910014513788</v>
      </c>
    </row>
    <row r="135" spans="7:12" ht="15" hidden="1">
      <c r="G135" s="54" t="s">
        <v>414</v>
      </c>
      <c r="H135" s="9"/>
      <c r="I135" s="32">
        <f>IF(Ruwvoer!G20&lt;0,(Ruwvoer!G20)*-1,0)</f>
        <v>0</v>
      </c>
      <c r="J135" s="32">
        <f>I135*1.06</f>
        <v>0</v>
      </c>
      <c r="K135" s="30">
        <f>I135/('Algemeen en dieraantallen'!$B$8+'Algemeen en dieraantallen'!$B$9)</f>
        <v>0</v>
      </c>
      <c r="L135" s="30">
        <f>J135/('Algemeen en dieraantallen'!$B$8+'Algemeen en dieraantallen'!$B$9)</f>
        <v>0</v>
      </c>
    </row>
    <row r="136" spans="7:12" ht="15" hidden="1">
      <c r="G136" s="54" t="s">
        <v>415</v>
      </c>
      <c r="H136" s="9"/>
      <c r="I136" s="32">
        <f>IF(Mest!N20&lt;0,(Mest!N20)*-1,0)</f>
        <v>0</v>
      </c>
      <c r="J136" s="32">
        <f>I136*1.06</f>
        <v>0</v>
      </c>
      <c r="K136" s="30">
        <f>I136/('Algemeen en dieraantallen'!$B$8+'Algemeen en dieraantallen'!$B$9)</f>
        <v>0</v>
      </c>
      <c r="L136" s="30">
        <f>J136/('Algemeen en dieraantallen'!$B$8+'Algemeen en dieraantallen'!$B$9)</f>
        <v>0</v>
      </c>
    </row>
    <row r="137" ht="15" hidden="1"/>
  </sheetData>
  <sheetProtection sheet="1"/>
  <mergeCells count="5">
    <mergeCell ref="E1:F1"/>
    <mergeCell ref="I105:J105"/>
    <mergeCell ref="K105:L105"/>
    <mergeCell ref="C35:D35"/>
    <mergeCell ref="C36:D36"/>
  </mergeCells>
  <hyperlinks>
    <hyperlink ref="A3" location="'Algemeen en dieraantallen'!A1" display="Algemeen en dieraantallen"/>
    <hyperlink ref="A10" location="Rantsoen!A1" display="Rantsoen"/>
    <hyperlink ref="A21" location="Ruwvoer!A1" display="Teelt, oogst en aankoop ruwvoer"/>
    <hyperlink ref="A28" location="Vee!A1" display="Veekosten"/>
    <hyperlink ref="A34" location="'Grond en gebouwen'!A1" display="Grond en gebouwen"/>
    <hyperlink ref="A39" location="Mest!A1" display="Mestproductie en mestafvoer"/>
    <hyperlink ref="A42" location="'Arbeid+installaties'!A1" display="Arbeid en installaties"/>
    <hyperlink ref="A45" location="'Water en energie'!A1" display="Water en energi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3"/>
  <ignoredErrors>
    <ignoredError sqref="I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54.8515625" style="5" customWidth="1"/>
    <col min="2" max="2" width="9.140625" style="5" customWidth="1"/>
    <col min="3" max="3" width="13.7109375" style="5" customWidth="1"/>
    <col min="4" max="16384" width="9.140625" style="5" customWidth="1"/>
  </cols>
  <sheetData>
    <row r="1" ht="15">
      <c r="A1" s="7" t="s">
        <v>56</v>
      </c>
    </row>
    <row r="2" spans="2:3" ht="17.25" customHeight="1">
      <c r="B2" s="6" t="s">
        <v>0</v>
      </c>
      <c r="C2" s="15" t="s">
        <v>322</v>
      </c>
    </row>
    <row r="3" spans="1:4" ht="15">
      <c r="A3" s="5" t="s">
        <v>370</v>
      </c>
      <c r="B3" s="2">
        <f>Hoofdpagina!B5</f>
        <v>14</v>
      </c>
      <c r="D3" s="5" t="s">
        <v>52</v>
      </c>
    </row>
    <row r="4" spans="1:4" ht="15">
      <c r="A4" s="5" t="s">
        <v>428</v>
      </c>
      <c r="B4" s="2">
        <f>Hoofdpagina!C99+21</f>
        <v>25</v>
      </c>
      <c r="C4" s="9"/>
      <c r="D4" s="5" t="s">
        <v>321</v>
      </c>
    </row>
    <row r="5" spans="1:4" ht="15">
      <c r="A5" s="5" t="s">
        <v>72</v>
      </c>
      <c r="B5" s="33">
        <f>C5</f>
        <v>67</v>
      </c>
      <c r="C5" s="2">
        <v>67</v>
      </c>
      <c r="D5" s="5" t="s">
        <v>52</v>
      </c>
    </row>
    <row r="6" spans="1:4" ht="15">
      <c r="A6" s="5" t="s">
        <v>342</v>
      </c>
      <c r="B6" s="36">
        <f>C6</f>
        <v>2</v>
      </c>
      <c r="C6" s="2">
        <v>2</v>
      </c>
      <c r="D6" s="5" t="s">
        <v>6</v>
      </c>
    </row>
    <row r="7" spans="1:4" ht="15">
      <c r="A7" s="5" t="s">
        <v>55</v>
      </c>
      <c r="B7" s="33">
        <f>C7</f>
        <v>2</v>
      </c>
      <c r="C7" s="2">
        <v>2</v>
      </c>
      <c r="D7" s="5" t="s">
        <v>6</v>
      </c>
    </row>
    <row r="8" spans="1:4" ht="15">
      <c r="A8" s="5" t="s">
        <v>371</v>
      </c>
      <c r="B8" s="38">
        <f>365-B3</f>
        <v>351</v>
      </c>
      <c r="C8" s="9"/>
      <c r="D8" s="5" t="s">
        <v>372</v>
      </c>
    </row>
    <row r="9" spans="1:4" ht="15">
      <c r="A9" s="5" t="s">
        <v>373</v>
      </c>
      <c r="B9" s="74">
        <f>((B4-12)/12)*365</f>
        <v>395.41666666666663</v>
      </c>
      <c r="C9" s="9"/>
      <c r="D9" s="5" t="s">
        <v>372</v>
      </c>
    </row>
    <row r="10" spans="1:4" ht="15">
      <c r="A10" s="5" t="s">
        <v>59</v>
      </c>
      <c r="B10" s="73">
        <f>(Hoofdpagina!B4/('Algemeen en dieraantallen'!B8+'Algemeen en dieraantallen'!B9))*B8</f>
        <v>94.04934687953556</v>
      </c>
      <c r="D10" s="5" t="s">
        <v>43</v>
      </c>
    </row>
    <row r="11" spans="1:4" ht="15" thickBot="1">
      <c r="A11" s="5" t="s">
        <v>343</v>
      </c>
      <c r="B11" s="20">
        <f>B10*(B6/100)</f>
        <v>1.8809869375907113</v>
      </c>
      <c r="D11" s="5" t="s">
        <v>43</v>
      </c>
    </row>
    <row r="12" spans="1:11" ht="15" thickBot="1">
      <c r="A12" s="5" t="s">
        <v>341</v>
      </c>
      <c r="B12" s="68">
        <f>C12</f>
        <v>315</v>
      </c>
      <c r="C12" s="111">
        <v>315</v>
      </c>
      <c r="D12" s="5" t="s">
        <v>46</v>
      </c>
      <c r="I12" s="6" t="s">
        <v>325</v>
      </c>
      <c r="J12" s="25">
        <f>B11*B12+B14*B15</f>
        <v>2552.5979680696664</v>
      </c>
      <c r="K12" s="5" t="s">
        <v>51</v>
      </c>
    </row>
    <row r="13" spans="1:4" ht="15" thickBot="1">
      <c r="A13" s="5" t="s">
        <v>58</v>
      </c>
      <c r="B13" s="69">
        <f>Hoofdpagina!B4-'Algemeen en dieraantallen'!B10</f>
        <v>105.95065312046444</v>
      </c>
      <c r="C13" s="19"/>
      <c r="D13" s="5" t="s">
        <v>43</v>
      </c>
    </row>
    <row r="14" spans="1:9" ht="15">
      <c r="A14" s="5" t="s">
        <v>344</v>
      </c>
      <c r="B14" s="71">
        <f>B13*(B7/100)</f>
        <v>2.1190130624092887</v>
      </c>
      <c r="C14" s="19"/>
      <c r="D14" s="5" t="s">
        <v>43</v>
      </c>
      <c r="I14" s="6"/>
    </row>
    <row r="15" spans="1:4" ht="15">
      <c r="A15" s="5" t="s">
        <v>345</v>
      </c>
      <c r="B15" s="33">
        <f>C15</f>
        <v>925</v>
      </c>
      <c r="C15" s="111">
        <v>925</v>
      </c>
      <c r="D15" s="5" t="s">
        <v>46</v>
      </c>
    </row>
    <row r="16" spans="1:4" ht="15">
      <c r="A16" s="5" t="s">
        <v>374</v>
      </c>
      <c r="B16" s="88">
        <f>IF(B13&gt;0,(B13*(12/(B4-12)))-B14/2,0)</f>
        <v>96.74109634922407</v>
      </c>
      <c r="C16" s="19"/>
      <c r="D16" s="5" t="s">
        <v>43</v>
      </c>
    </row>
    <row r="17" spans="1:4" ht="15">
      <c r="A17" s="5" t="s">
        <v>406</v>
      </c>
      <c r="B17" s="33">
        <f>C17</f>
        <v>30</v>
      </c>
      <c r="C17" s="111">
        <v>30</v>
      </c>
      <c r="D17" s="5" t="s">
        <v>46</v>
      </c>
    </row>
    <row r="19" ht="15">
      <c r="A19" s="16" t="s">
        <v>57</v>
      </c>
    </row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/>
  <ignoredErrors>
    <ignoredError sqref="B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5.28125" style="5" customWidth="1"/>
    <col min="2" max="2" width="9.140625" style="5" customWidth="1"/>
    <col min="3" max="3" width="9.7109375" style="5" customWidth="1"/>
    <col min="4" max="4" width="4.28125" style="5" customWidth="1"/>
    <col min="5" max="6" width="9.140625" style="5" customWidth="1"/>
    <col min="7" max="7" width="12.8515625" style="5" customWidth="1"/>
    <col min="8" max="10" width="9.140625" style="5" customWidth="1"/>
    <col min="11" max="11" width="17.00390625" style="5" customWidth="1"/>
    <col min="12" max="16384" width="9.140625" style="5" customWidth="1"/>
  </cols>
  <sheetData>
    <row r="1" spans="1:4" ht="15">
      <c r="A1" s="7" t="s">
        <v>71</v>
      </c>
      <c r="B1" s="6" t="s">
        <v>76</v>
      </c>
      <c r="C1" s="6" t="s">
        <v>67</v>
      </c>
      <c r="D1" s="6"/>
    </row>
    <row r="2" spans="1:7" ht="15">
      <c r="A2" s="5" t="s">
        <v>376</v>
      </c>
      <c r="B2" s="2">
        <f>'Algemeen en dieraantallen'!B5-'Algemeen en dieraantallen'!B3</f>
        <v>53</v>
      </c>
      <c r="G2" s="5" t="s">
        <v>52</v>
      </c>
    </row>
    <row r="3" spans="1:7" ht="15">
      <c r="A3" s="5" t="s">
        <v>73</v>
      </c>
      <c r="B3" s="33">
        <f>C3</f>
        <v>0.6</v>
      </c>
      <c r="C3" s="2">
        <v>0.6</v>
      </c>
      <c r="D3" s="9"/>
      <c r="G3" s="5" t="s">
        <v>78</v>
      </c>
    </row>
    <row r="4" spans="1:12" ht="15" thickBot="1">
      <c r="A4" s="5" t="s">
        <v>74</v>
      </c>
      <c r="B4" s="14">
        <f>'Algemeen en dieraantallen'!B10</f>
        <v>94.04934687953556</v>
      </c>
      <c r="D4" s="9"/>
      <c r="G4" s="5" t="s">
        <v>43</v>
      </c>
      <c r="I4" s="6" t="s">
        <v>68</v>
      </c>
      <c r="J4" s="6" t="s">
        <v>67</v>
      </c>
      <c r="L4" s="6" t="s">
        <v>80</v>
      </c>
    </row>
    <row r="5" spans="1:13" ht="15" thickBot="1">
      <c r="A5" s="5" t="s">
        <v>75</v>
      </c>
      <c r="B5" s="21">
        <f>IF(B2&gt;0,B2*B3*B4,0)</f>
        <v>2990.7692307692305</v>
      </c>
      <c r="D5" s="9"/>
      <c r="G5" s="5" t="s">
        <v>77</v>
      </c>
      <c r="I5" s="33">
        <f>J5</f>
        <v>2</v>
      </c>
      <c r="J5" s="111">
        <v>2</v>
      </c>
      <c r="K5" s="5" t="s">
        <v>79</v>
      </c>
      <c r="L5" s="25">
        <f>B5*I5</f>
        <v>5981.538461538461</v>
      </c>
      <c r="M5" s="5" t="s">
        <v>123</v>
      </c>
    </row>
    <row r="6" spans="4:10" ht="15">
      <c r="D6" s="9"/>
      <c r="J6" s="19"/>
    </row>
    <row r="7" spans="1:10" ht="15">
      <c r="A7" s="7" t="s">
        <v>81</v>
      </c>
      <c r="B7" s="80" t="s">
        <v>82</v>
      </c>
      <c r="C7" s="80" t="s">
        <v>67</v>
      </c>
      <c r="D7" s="82"/>
      <c r="E7" s="81" t="s">
        <v>84</v>
      </c>
      <c r="F7" s="81" t="s">
        <v>67</v>
      </c>
      <c r="J7" s="19"/>
    </row>
    <row r="8" spans="1:10" ht="15">
      <c r="A8" s="5" t="s">
        <v>83</v>
      </c>
      <c r="B8" s="14">
        <f>'Algemeen en dieraantallen'!B10</f>
        <v>94.04934687953556</v>
      </c>
      <c r="D8" s="9"/>
      <c r="E8" s="14">
        <f>'Algemeen en dieraantallen'!B13</f>
        <v>105.95065312046444</v>
      </c>
      <c r="G8" s="5" t="s">
        <v>43</v>
      </c>
      <c r="J8" s="19"/>
    </row>
    <row r="9" spans="1:10" ht="15">
      <c r="A9" s="5" t="s">
        <v>85</v>
      </c>
      <c r="B9" s="22">
        <f>365-Hoofdpagina!B11</f>
        <v>275</v>
      </c>
      <c r="D9" s="9"/>
      <c r="E9" s="21">
        <f>365-Hoofdpagina!B12</f>
        <v>185</v>
      </c>
      <c r="G9" s="5" t="s">
        <v>52</v>
      </c>
      <c r="J9" s="19"/>
    </row>
    <row r="10" spans="1:10" ht="15">
      <c r="A10" s="5" t="s">
        <v>86</v>
      </c>
      <c r="B10" s="38">
        <f>Hoofdpagina!B15</f>
        <v>1.07</v>
      </c>
      <c r="C10" s="9"/>
      <c r="D10" s="9"/>
      <c r="E10" s="38">
        <f>Hoofdpagina!B16</f>
        <v>0.98</v>
      </c>
      <c r="F10" s="9"/>
      <c r="G10" s="5" t="s">
        <v>117</v>
      </c>
      <c r="J10" s="19"/>
    </row>
    <row r="11" spans="1:10" ht="15">
      <c r="A11" s="5" t="s">
        <v>119</v>
      </c>
      <c r="B11" s="33">
        <f>C11</f>
        <v>0</v>
      </c>
      <c r="C11" s="9"/>
      <c r="D11" s="9"/>
      <c r="E11" s="33">
        <f>F11</f>
        <v>0</v>
      </c>
      <c r="F11" s="9"/>
      <c r="G11" s="5" t="s">
        <v>95</v>
      </c>
      <c r="J11" s="19"/>
    </row>
    <row r="12" spans="1:10" ht="15">
      <c r="A12" s="5" t="s">
        <v>87</v>
      </c>
      <c r="B12" s="2">
        <f>Hoofdpagina!B11</f>
        <v>90</v>
      </c>
      <c r="C12" s="9"/>
      <c r="D12" s="9"/>
      <c r="E12" s="2">
        <f>Hoofdpagina!B12</f>
        <v>180</v>
      </c>
      <c r="F12" s="9"/>
      <c r="G12" s="5" t="s">
        <v>52</v>
      </c>
      <c r="J12" s="19"/>
    </row>
    <row r="13" spans="1:10" ht="15">
      <c r="A13" s="5" t="s">
        <v>88</v>
      </c>
      <c r="B13" s="38">
        <f>Hoofdpagina!B17</f>
        <v>0</v>
      </c>
      <c r="C13" s="9"/>
      <c r="D13" s="9"/>
      <c r="E13" s="38">
        <f>Hoofdpagina!B18</f>
        <v>0</v>
      </c>
      <c r="F13" s="9"/>
      <c r="G13" s="5" t="s">
        <v>117</v>
      </c>
      <c r="J13" s="19"/>
    </row>
    <row r="14" spans="1:12" ht="15" thickBot="1">
      <c r="A14" s="5" t="s">
        <v>89</v>
      </c>
      <c r="B14" s="79">
        <f>C14</f>
        <v>2</v>
      </c>
      <c r="C14" s="2">
        <v>2</v>
      </c>
      <c r="D14" s="9"/>
      <c r="E14" s="33">
        <f>F14</f>
        <v>2</v>
      </c>
      <c r="F14" s="24">
        <v>2</v>
      </c>
      <c r="G14" s="5" t="s">
        <v>6</v>
      </c>
      <c r="I14" s="6" t="s">
        <v>68</v>
      </c>
      <c r="J14" s="116" t="s">
        <v>67</v>
      </c>
      <c r="K14" s="6"/>
      <c r="L14" s="6" t="s">
        <v>80</v>
      </c>
    </row>
    <row r="15" spans="1:13" ht="15" thickBot="1">
      <c r="A15" s="5" t="s">
        <v>113</v>
      </c>
      <c r="B15" s="21">
        <f>(B8*B9*B10+B8*B12*B13)*(100+B14)/100</f>
        <v>28227.50072568941</v>
      </c>
      <c r="D15" s="9"/>
      <c r="E15" s="21">
        <f>(E8*E9*E10+E8*E12*E13)*(100+E14)/100</f>
        <v>19593.03047895501</v>
      </c>
      <c r="G15" s="5" t="s">
        <v>77</v>
      </c>
      <c r="I15" s="33">
        <f>J15</f>
        <v>22.5</v>
      </c>
      <c r="J15" s="111">
        <v>22.5</v>
      </c>
      <c r="K15" s="5" t="s">
        <v>90</v>
      </c>
      <c r="L15" s="26">
        <f>(B15+E15)/100*I15</f>
        <v>10759.619521044993</v>
      </c>
      <c r="M15" s="5" t="s">
        <v>121</v>
      </c>
    </row>
    <row r="16" spans="1:13" ht="15" thickBot="1">
      <c r="A16" s="5" t="s">
        <v>118</v>
      </c>
      <c r="B16" s="21">
        <f>(B8*B9*B11)*(100+B14)/100</f>
        <v>0</v>
      </c>
      <c r="D16" s="9"/>
      <c r="E16" s="21">
        <f>(E8*E9*E11)*(100+E14)/100</f>
        <v>0</v>
      </c>
      <c r="G16" s="5" t="s">
        <v>95</v>
      </c>
      <c r="I16" s="33">
        <f>J16</f>
        <v>17</v>
      </c>
      <c r="J16" s="111">
        <v>17</v>
      </c>
      <c r="K16" s="5" t="s">
        <v>120</v>
      </c>
      <c r="L16" s="25">
        <f>(B16+E16)/100*I16</f>
        <v>0</v>
      </c>
      <c r="M16" s="5" t="s">
        <v>122</v>
      </c>
    </row>
    <row r="17" ht="15">
      <c r="D17" s="9"/>
    </row>
    <row r="18" spans="1:6" ht="15">
      <c r="A18" s="8" t="s">
        <v>53</v>
      </c>
      <c r="B18" s="80" t="s">
        <v>82</v>
      </c>
      <c r="C18" s="80" t="s">
        <v>67</v>
      </c>
      <c r="D18" s="82"/>
      <c r="E18" s="81" t="s">
        <v>84</v>
      </c>
      <c r="F18" s="81" t="s">
        <v>67</v>
      </c>
    </row>
    <row r="19" spans="1:7" ht="15">
      <c r="A19" s="5" t="s">
        <v>91</v>
      </c>
      <c r="B19" s="79">
        <f>C19</f>
        <v>3</v>
      </c>
      <c r="C19" s="2">
        <v>3</v>
      </c>
      <c r="D19" s="9"/>
      <c r="E19" s="33">
        <f>F19</f>
        <v>8.3</v>
      </c>
      <c r="F19" s="24">
        <v>8.3</v>
      </c>
      <c r="G19" s="5" t="s">
        <v>95</v>
      </c>
    </row>
    <row r="20" spans="1:7" ht="15">
      <c r="A20" s="5" t="s">
        <v>93</v>
      </c>
      <c r="B20" s="79">
        <f>C20</f>
        <v>90</v>
      </c>
      <c r="C20" s="2">
        <f>100-Hoofdpagina!B13</f>
        <v>90</v>
      </c>
      <c r="D20" s="9"/>
      <c r="E20" s="33">
        <f>F20</f>
        <v>90</v>
      </c>
      <c r="F20" s="24">
        <f>100-Hoofdpagina!B14</f>
        <v>90</v>
      </c>
      <c r="G20" s="5" t="s">
        <v>6</v>
      </c>
    </row>
    <row r="21" spans="1:7" ht="15">
      <c r="A21" s="5" t="s">
        <v>94</v>
      </c>
      <c r="B21" s="2">
        <f>Hoofdpagina!B13</f>
        <v>10</v>
      </c>
      <c r="C21" s="9"/>
      <c r="D21" s="9"/>
      <c r="E21" s="2">
        <f>Hoofdpagina!B14</f>
        <v>10</v>
      </c>
      <c r="F21" s="9"/>
      <c r="G21" s="5" t="s">
        <v>6</v>
      </c>
    </row>
    <row r="22" spans="1:7" ht="15">
      <c r="A22" s="5" t="s">
        <v>109</v>
      </c>
      <c r="B22" s="2">
        <f>100-B20-B21</f>
        <v>0</v>
      </c>
      <c r="C22" s="9"/>
      <c r="D22" s="9"/>
      <c r="E22" s="2">
        <f>100-E20-E21</f>
        <v>0</v>
      </c>
      <c r="F22" s="9"/>
      <c r="G22" s="5" t="s">
        <v>6</v>
      </c>
    </row>
    <row r="23" spans="1:9" ht="15">
      <c r="A23" s="5" t="s">
        <v>96</v>
      </c>
      <c r="B23" s="21">
        <f>B8*B9*B19*(B20/100)</f>
        <v>69831.64005805516</v>
      </c>
      <c r="D23" s="9"/>
      <c r="E23" s="21">
        <f>E8*E9*E19*(E20/100)</f>
        <v>146418.50507982585</v>
      </c>
      <c r="G23" s="5" t="s">
        <v>114</v>
      </c>
      <c r="I23" s="9"/>
    </row>
    <row r="24" spans="1:7" ht="15">
      <c r="A24" s="5" t="s">
        <v>97</v>
      </c>
      <c r="B24" s="21">
        <f>B8*B9*B19*(B21/100)</f>
        <v>7759.071117561683</v>
      </c>
      <c r="D24" s="9"/>
      <c r="E24" s="21">
        <f>E8*E9*E19*(E21/100)</f>
        <v>16268.722786647319</v>
      </c>
      <c r="G24" s="5" t="s">
        <v>115</v>
      </c>
    </row>
    <row r="25" spans="1:7" ht="15">
      <c r="A25" s="5" t="s">
        <v>98</v>
      </c>
      <c r="B25" s="22">
        <f>B8*B9*B19*(B22/100)</f>
        <v>0</v>
      </c>
      <c r="D25" s="9"/>
      <c r="E25" s="2">
        <f>E8*E9*E19*(E22/100)</f>
        <v>0</v>
      </c>
      <c r="G25" s="5" t="s">
        <v>116</v>
      </c>
    </row>
    <row r="26" spans="1:7" ht="15">
      <c r="A26" s="5" t="s">
        <v>103</v>
      </c>
      <c r="B26" s="79">
        <f>C26</f>
        <v>5</v>
      </c>
      <c r="C26" s="2">
        <v>5</v>
      </c>
      <c r="D26" s="9"/>
      <c r="E26" s="33">
        <f>F26</f>
        <v>5</v>
      </c>
      <c r="F26" s="24">
        <v>5</v>
      </c>
      <c r="G26" s="5" t="s">
        <v>6</v>
      </c>
    </row>
    <row r="27" spans="1:7" ht="15">
      <c r="A27" s="5" t="s">
        <v>104</v>
      </c>
      <c r="B27" s="79">
        <f>C27</f>
        <v>3</v>
      </c>
      <c r="C27" s="2">
        <v>3</v>
      </c>
      <c r="D27" s="9"/>
      <c r="E27" s="33">
        <f>F27</f>
        <v>3</v>
      </c>
      <c r="F27" s="24">
        <v>3</v>
      </c>
      <c r="G27" s="5" t="s">
        <v>6</v>
      </c>
    </row>
    <row r="28" spans="1:7" ht="15" thickBot="1">
      <c r="A28" s="5" t="s">
        <v>105</v>
      </c>
      <c r="B28" s="79">
        <f>C28</f>
        <v>6</v>
      </c>
      <c r="C28" s="2">
        <v>6</v>
      </c>
      <c r="D28" s="9"/>
      <c r="E28" s="33">
        <f>F28</f>
        <v>6</v>
      </c>
      <c r="F28" s="24">
        <v>6</v>
      </c>
      <c r="G28" s="5" t="s">
        <v>6</v>
      </c>
    </row>
    <row r="29" spans="1:13" ht="15" thickBot="1">
      <c r="A29" s="5" t="s">
        <v>106</v>
      </c>
      <c r="B29" s="21">
        <f>B23/((100-B26)/100)/((100-B27)/100)/((100-B28)/100)</f>
        <v>80617.44849176894</v>
      </c>
      <c r="D29" s="9"/>
      <c r="E29" s="21">
        <f>E23/((100-E26)/100)/((100-E27)/100)/((100-E28)/100)</f>
        <v>169033.49658838604</v>
      </c>
      <c r="G29" s="5" t="s">
        <v>64</v>
      </c>
      <c r="I29" s="5" t="s">
        <v>110</v>
      </c>
      <c r="L29" s="25">
        <f>B29+E29</f>
        <v>249650.94508015498</v>
      </c>
      <c r="M29" s="5" t="s">
        <v>64</v>
      </c>
    </row>
    <row r="30" spans="1:13" ht="15" thickBot="1">
      <c r="A30" s="5" t="s">
        <v>107</v>
      </c>
      <c r="B30" s="21">
        <f>B24/((100-B26)/100)/((100-B27)/100)/((100-B28)/100)</f>
        <v>8957.494276863214</v>
      </c>
      <c r="D30" s="9"/>
      <c r="E30" s="21">
        <f>E24/((100-E26)/100)/((100-E27)/100)/((100-E28)/100)</f>
        <v>18781.499620931787</v>
      </c>
      <c r="G30" s="5" t="s">
        <v>64</v>
      </c>
      <c r="I30" s="5" t="s">
        <v>111</v>
      </c>
      <c r="L30" s="25">
        <f>B30+E30</f>
        <v>27738.993897795</v>
      </c>
      <c r="M30" s="5" t="s">
        <v>64</v>
      </c>
    </row>
    <row r="31" spans="1:13" ht="15" thickBot="1">
      <c r="A31" s="5" t="s">
        <v>108</v>
      </c>
      <c r="B31" s="21">
        <f>B25/((100-B26)/100)</f>
        <v>0</v>
      </c>
      <c r="D31" s="9"/>
      <c r="E31" s="21">
        <f>E25/((100-E26)/100)</f>
        <v>0</v>
      </c>
      <c r="G31" s="5" t="s">
        <v>64</v>
      </c>
      <c r="I31" s="5" t="s">
        <v>112</v>
      </c>
      <c r="L31" s="25">
        <f>B31+E31</f>
        <v>0</v>
      </c>
      <c r="M31" s="5" t="s">
        <v>64</v>
      </c>
    </row>
    <row r="32" ht="15">
      <c r="D32" s="9"/>
    </row>
    <row r="33" spans="1:7" ht="15">
      <c r="A33" s="5" t="s">
        <v>92</v>
      </c>
      <c r="B33" s="79">
        <f>C33</f>
        <v>2.6</v>
      </c>
      <c r="C33" s="2">
        <v>2.6</v>
      </c>
      <c r="D33" s="9"/>
      <c r="E33" s="33">
        <f>F33</f>
        <v>8.4</v>
      </c>
      <c r="F33" s="24">
        <v>8.4</v>
      </c>
      <c r="G33" s="5" t="s">
        <v>95</v>
      </c>
    </row>
    <row r="34" spans="1:7" ht="15">
      <c r="A34" s="5" t="s">
        <v>99</v>
      </c>
      <c r="B34" s="21">
        <f>B8*B12*B33</f>
        <v>22007.547169811325</v>
      </c>
      <c r="D34" s="9"/>
      <c r="E34" s="21">
        <f>E8*E12*E33</f>
        <v>160197.38751814223</v>
      </c>
      <c r="G34" s="5" t="s">
        <v>64</v>
      </c>
    </row>
    <row r="35" spans="1:7" ht="15" thickBot="1">
      <c r="A35" s="5" t="s">
        <v>100</v>
      </c>
      <c r="B35" s="79">
        <f>C35</f>
        <v>80</v>
      </c>
      <c r="C35" s="2">
        <v>80</v>
      </c>
      <c r="D35" s="9"/>
      <c r="E35" s="33">
        <f>F35</f>
        <v>80</v>
      </c>
      <c r="F35" s="24">
        <v>80</v>
      </c>
      <c r="G35" s="5" t="s">
        <v>6</v>
      </c>
    </row>
    <row r="36" spans="1:13" ht="15" thickBot="1">
      <c r="A36" s="5" t="s">
        <v>101</v>
      </c>
      <c r="B36" s="21">
        <f>B34/(B35/100)</f>
        <v>27509.433962264156</v>
      </c>
      <c r="D36" s="9"/>
      <c r="E36" s="21">
        <f>E34/(E35/100)</f>
        <v>200246.7343976778</v>
      </c>
      <c r="G36" s="5" t="s">
        <v>64</v>
      </c>
      <c r="I36" s="5" t="s">
        <v>102</v>
      </c>
      <c r="L36" s="25">
        <f>B36+E36</f>
        <v>227756.16835994195</v>
      </c>
      <c r="M36" s="5" t="s">
        <v>64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0.7109375" style="5" customWidth="1"/>
    <col min="2" max="2" width="10.7109375" style="5" customWidth="1"/>
    <col min="3" max="3" width="9.140625" style="5" customWidth="1"/>
    <col min="4" max="4" width="13.28125" style="5" customWidth="1"/>
    <col min="5" max="5" width="9.7109375" style="5" customWidth="1"/>
    <col min="6" max="6" width="14.8515625" style="5" customWidth="1"/>
    <col min="7" max="7" width="9.140625" style="5" customWidth="1"/>
    <col min="8" max="8" width="5.8515625" style="5" customWidth="1"/>
    <col min="9" max="9" width="31.8515625" style="5" customWidth="1"/>
    <col min="10" max="10" width="10.140625" style="5" customWidth="1"/>
    <col min="11" max="16384" width="9.140625" style="5" customWidth="1"/>
  </cols>
  <sheetData>
    <row r="1" spans="1:9" ht="15">
      <c r="A1" s="7" t="s">
        <v>60</v>
      </c>
      <c r="D1" s="6"/>
      <c r="E1" s="77"/>
      <c r="I1" s="7" t="s">
        <v>402</v>
      </c>
    </row>
    <row r="2" spans="1:11" ht="15">
      <c r="A2" s="5" t="s">
        <v>61</v>
      </c>
      <c r="B2" s="21">
        <f>Rantsoen!L36</f>
        <v>227756.16835994195</v>
      </c>
      <c r="C2" s="5" t="s">
        <v>64</v>
      </c>
      <c r="J2" s="6" t="s">
        <v>76</v>
      </c>
      <c r="K2" s="6" t="s">
        <v>67</v>
      </c>
    </row>
    <row r="3" spans="1:12" ht="15">
      <c r="A3" s="5" t="s">
        <v>62</v>
      </c>
      <c r="B3" s="21">
        <f>Rantsoen!L29</f>
        <v>249650.94508015498</v>
      </c>
      <c r="C3" s="5" t="s">
        <v>64</v>
      </c>
      <c r="I3" s="5" t="s">
        <v>130</v>
      </c>
      <c r="J3" s="33">
        <f>K3</f>
        <v>90</v>
      </c>
      <c r="K3" s="111">
        <v>90</v>
      </c>
      <c r="L3" s="5" t="s">
        <v>135</v>
      </c>
    </row>
    <row r="4" spans="1:12" ht="15">
      <c r="A4" s="5" t="s">
        <v>63</v>
      </c>
      <c r="B4" s="21">
        <f>Rantsoen!L30</f>
        <v>27738.993897795</v>
      </c>
      <c r="C4" s="5" t="s">
        <v>64</v>
      </c>
      <c r="I4" s="5" t="s">
        <v>149</v>
      </c>
      <c r="J4" s="33">
        <f>K4</f>
        <v>16</v>
      </c>
      <c r="K4" s="111">
        <v>16</v>
      </c>
      <c r="L4" s="5" t="s">
        <v>135</v>
      </c>
    </row>
    <row r="5" spans="1:12" ht="15">
      <c r="A5" s="5" t="s">
        <v>65</v>
      </c>
      <c r="B5" s="21">
        <f>Rantsoen!L31</f>
        <v>0</v>
      </c>
      <c r="C5" s="5" t="s">
        <v>64</v>
      </c>
      <c r="I5" s="5" t="s">
        <v>131</v>
      </c>
      <c r="J5" s="33">
        <f>K5</f>
        <v>10</v>
      </c>
      <c r="K5" s="111">
        <v>10</v>
      </c>
      <c r="L5" s="5" t="s">
        <v>6</v>
      </c>
    </row>
    <row r="6" spans="9:12" ht="15">
      <c r="I6" s="5" t="s">
        <v>132</v>
      </c>
      <c r="J6" s="33">
        <f>K6</f>
        <v>190</v>
      </c>
      <c r="K6" s="111">
        <v>190</v>
      </c>
      <c r="L6" s="5" t="s">
        <v>136</v>
      </c>
    </row>
    <row r="7" spans="1:12" s="18" customFormat="1" ht="17.25" thickBot="1">
      <c r="A7" s="13" t="s">
        <v>377</v>
      </c>
      <c r="B7" s="6" t="s">
        <v>382</v>
      </c>
      <c r="C7" s="6" t="s">
        <v>67</v>
      </c>
      <c r="D7" s="6" t="s">
        <v>383</v>
      </c>
      <c r="E7" s="6" t="s">
        <v>67</v>
      </c>
      <c r="I7" s="5" t="s">
        <v>197</v>
      </c>
      <c r="J7" s="23">
        <f>IF(B8&gt;0,Mest!B30*Mest!I34+(Mest!N35/Mest!B14),0)</f>
        <v>222.9481503628447</v>
      </c>
      <c r="K7" s="19"/>
      <c r="L7" s="5" t="s">
        <v>135</v>
      </c>
    </row>
    <row r="8" spans="1:12" ht="15" thickBot="1">
      <c r="A8" s="5" t="s">
        <v>378</v>
      </c>
      <c r="B8" s="2">
        <f>Hoofdpagina!B22</f>
        <v>28.5</v>
      </c>
      <c r="D8" s="2">
        <f>Hoofdpagina!B23</f>
        <v>1.5</v>
      </c>
      <c r="F8" s="5" t="s">
        <v>128</v>
      </c>
      <c r="I8" s="5" t="s">
        <v>151</v>
      </c>
      <c r="J8" s="25">
        <f>J3*(B8)+J4*(B8)+(J5/100)*J6*(B8)+J7*(B8)</f>
        <v>9916.522285341074</v>
      </c>
      <c r="K8" s="19"/>
      <c r="L8" s="5" t="s">
        <v>51</v>
      </c>
    </row>
    <row r="9" spans="1:11" ht="15">
      <c r="A9" s="5" t="s">
        <v>66</v>
      </c>
      <c r="B9" s="33">
        <f>C9</f>
        <v>12500</v>
      </c>
      <c r="C9" s="2">
        <f>VLOOKUP("*",Hoofdpagina!D55:F60,2,1)</f>
        <v>12500</v>
      </c>
      <c r="D9" s="33">
        <f>E9</f>
        <v>15500</v>
      </c>
      <c r="E9" s="2">
        <f>VLOOKUP("*",Hoofdpagina!D55:F60,3,1)</f>
        <v>15500</v>
      </c>
      <c r="F9" s="5" t="s">
        <v>163</v>
      </c>
      <c r="K9" s="19"/>
    </row>
    <row r="10" spans="1:11" ht="15">
      <c r="A10" s="5" t="s">
        <v>384</v>
      </c>
      <c r="B10" s="2">
        <f>B8*B9</f>
        <v>356250</v>
      </c>
      <c r="D10" s="2">
        <f>D8*D9</f>
        <v>23250</v>
      </c>
      <c r="F10" s="5" t="s">
        <v>381</v>
      </c>
      <c r="I10" s="7" t="s">
        <v>403</v>
      </c>
      <c r="K10" s="19"/>
    </row>
    <row r="11" spans="1:11" ht="15">
      <c r="A11" s="5" t="s">
        <v>379</v>
      </c>
      <c r="B11" s="76">
        <f>IF(B2&lt;(B8*B9),B2,B8*B9)</f>
        <v>227756.16835994195</v>
      </c>
      <c r="F11" s="5" t="s">
        <v>381</v>
      </c>
      <c r="J11" s="6" t="s">
        <v>76</v>
      </c>
      <c r="K11" s="116" t="s">
        <v>67</v>
      </c>
    </row>
    <row r="12" spans="1:12" ht="15">
      <c r="A12" s="5" t="s">
        <v>380</v>
      </c>
      <c r="B12" s="21">
        <f>IF(B2&lt;(B8*B9),(B8*B9)-B11,0)</f>
        <v>128493.83164005805</v>
      </c>
      <c r="F12" s="5" t="s">
        <v>381</v>
      </c>
      <c r="I12" s="5" t="s">
        <v>149</v>
      </c>
      <c r="J12" s="33">
        <f>K12</f>
        <v>75</v>
      </c>
      <c r="K12" s="111">
        <v>75</v>
      </c>
      <c r="L12" s="5" t="s">
        <v>135</v>
      </c>
    </row>
    <row r="13" spans="1:12" ht="15">
      <c r="A13" s="5" t="s">
        <v>126</v>
      </c>
      <c r="B13" s="33">
        <f>C13</f>
        <v>2500</v>
      </c>
      <c r="C13" s="2">
        <v>2500</v>
      </c>
      <c r="F13" s="5" t="s">
        <v>129</v>
      </c>
      <c r="I13" s="5" t="s">
        <v>132</v>
      </c>
      <c r="J13" s="33">
        <f>K13</f>
        <v>220</v>
      </c>
      <c r="K13" s="111">
        <v>220</v>
      </c>
      <c r="L13" s="5" t="s">
        <v>135</v>
      </c>
    </row>
    <row r="14" spans="1:12" ht="17.25" thickBot="1">
      <c r="A14" s="5" t="s">
        <v>127</v>
      </c>
      <c r="B14" s="75">
        <f>B12/B13</f>
        <v>51.39753265602322</v>
      </c>
      <c r="C14" s="18"/>
      <c r="D14" s="18"/>
      <c r="E14" s="6"/>
      <c r="F14" s="18" t="s">
        <v>128</v>
      </c>
      <c r="G14" s="18"/>
      <c r="H14" s="18"/>
      <c r="I14" s="5" t="s">
        <v>156</v>
      </c>
      <c r="J14" s="21">
        <f>Mest!B34*Mest!I34</f>
        <v>73.1081503628447</v>
      </c>
      <c r="K14" s="114"/>
      <c r="L14" s="5" t="s">
        <v>135</v>
      </c>
    </row>
    <row r="15" spans="9:12" ht="15" thickBot="1">
      <c r="I15" s="5" t="s">
        <v>152</v>
      </c>
      <c r="J15" s="25">
        <f>D8*J12+D8*J13+D8*J14</f>
        <v>552.162225544267</v>
      </c>
      <c r="K15" s="19"/>
      <c r="L15" s="5" t="s">
        <v>51</v>
      </c>
    </row>
    <row r="16" spans="1:11" ht="15">
      <c r="A16" s="13" t="s">
        <v>385</v>
      </c>
      <c r="B16" s="18"/>
      <c r="C16" s="18"/>
      <c r="D16" s="18" t="s">
        <v>334</v>
      </c>
      <c r="E16" s="48" t="s">
        <v>69</v>
      </c>
      <c r="F16" s="18"/>
      <c r="G16" s="18" t="s">
        <v>70</v>
      </c>
      <c r="H16" s="18"/>
      <c r="K16" s="19"/>
    </row>
    <row r="17" spans="1:11" ht="15">
      <c r="A17" s="5" t="s">
        <v>62</v>
      </c>
      <c r="B17" s="21">
        <f>B2+B3-B11-B12</f>
        <v>121157.11344009696</v>
      </c>
      <c r="C17" s="5" t="s">
        <v>64</v>
      </c>
      <c r="D17" s="64">
        <f>(Hoofdpagina!B25/0.45)/1000</f>
        <v>0.17333333333333334</v>
      </c>
      <c r="E17" s="117">
        <f>(Hoofdpagina!C25/0.45)/1000</f>
        <v>0.17333333333333334</v>
      </c>
      <c r="F17" s="5" t="s">
        <v>335</v>
      </c>
      <c r="G17" s="21">
        <f>B17*D17</f>
        <v>21000.566329616806</v>
      </c>
      <c r="H17" s="5" t="s">
        <v>51</v>
      </c>
      <c r="K17" s="19"/>
    </row>
    <row r="18" spans="1:11" ht="15">
      <c r="A18" s="5" t="s">
        <v>63</v>
      </c>
      <c r="B18" s="21">
        <f>B4-D10</f>
        <v>4488.9938977950005</v>
      </c>
      <c r="C18" s="5" t="s">
        <v>64</v>
      </c>
      <c r="D18" s="64">
        <f>(Hoofdpagina!B26/0.33)/1000</f>
        <v>0.12727272727272726</v>
      </c>
      <c r="E18" s="117">
        <f>(Hoofdpagina!C26/0.33)/1000</f>
        <v>0.12727272727272726</v>
      </c>
      <c r="F18" s="5" t="s">
        <v>335</v>
      </c>
      <c r="G18" s="21">
        <f>B18*D18</f>
        <v>571.326496083</v>
      </c>
      <c r="H18" s="5" t="s">
        <v>51</v>
      </c>
      <c r="K18" s="19"/>
    </row>
    <row r="19" spans="1:11" ht="15" thickBot="1">
      <c r="A19" s="5" t="s">
        <v>65</v>
      </c>
      <c r="B19" s="21">
        <f>B5</f>
        <v>0</v>
      </c>
      <c r="C19" s="5" t="s">
        <v>64</v>
      </c>
      <c r="D19" s="65">
        <f>IF(B5&gt;0,E19,0)</f>
        <v>0</v>
      </c>
      <c r="E19" s="20">
        <v>0.1</v>
      </c>
      <c r="F19" s="5" t="s">
        <v>335</v>
      </c>
      <c r="G19" s="23">
        <f>B19*D19</f>
        <v>0</v>
      </c>
      <c r="H19" s="5" t="s">
        <v>51</v>
      </c>
      <c r="K19" s="19"/>
    </row>
    <row r="20" spans="1:11" ht="15" thickBot="1">
      <c r="A20" s="5" t="s">
        <v>158</v>
      </c>
      <c r="G20" s="25">
        <f>SUM(G17:G19)</f>
        <v>21571.892825699804</v>
      </c>
      <c r="H20" s="5" t="s">
        <v>51</v>
      </c>
      <c r="K20" s="19"/>
    </row>
    <row r="21" spans="1:11" ht="15">
      <c r="A21" s="5" t="s">
        <v>386</v>
      </c>
      <c r="K21" s="19"/>
    </row>
    <row r="22" ht="15">
      <c r="K22" s="19"/>
    </row>
    <row r="23" spans="1:11" ht="15">
      <c r="A23" s="7" t="s">
        <v>407</v>
      </c>
      <c r="I23" s="7" t="s">
        <v>408</v>
      </c>
      <c r="K23" s="27"/>
    </row>
    <row r="24" spans="1:11" ht="15">
      <c r="A24" s="5" t="s">
        <v>350</v>
      </c>
      <c r="B24" s="9"/>
      <c r="C24" s="9"/>
      <c r="I24" s="5" t="s">
        <v>137</v>
      </c>
      <c r="J24" s="9"/>
      <c r="K24" s="19"/>
    </row>
    <row r="25" spans="1:12" ht="15">
      <c r="A25" s="5" t="s">
        <v>141</v>
      </c>
      <c r="B25" s="33">
        <f>C25</f>
        <v>258</v>
      </c>
      <c r="C25" s="111">
        <f>VLOOKUP("*",Hoofdpagina!D55:G60,4,1)</f>
        <v>258</v>
      </c>
      <c r="D25" s="5" t="s">
        <v>136</v>
      </c>
      <c r="I25" s="5" t="s">
        <v>161</v>
      </c>
      <c r="J25" s="33">
        <f>K25</f>
        <v>185</v>
      </c>
      <c r="K25" s="111">
        <f>VLOOKUP("*",Hoofdpagina!D55:J60,5,1)</f>
        <v>185</v>
      </c>
      <c r="L25" s="5" t="s">
        <v>135</v>
      </c>
    </row>
    <row r="26" spans="1:12" ht="15">
      <c r="A26" s="5" t="s">
        <v>138</v>
      </c>
      <c r="B26" s="33">
        <f>C26</f>
        <v>25</v>
      </c>
      <c r="C26" s="111">
        <v>25</v>
      </c>
      <c r="D26" s="5" t="s">
        <v>142</v>
      </c>
      <c r="I26" s="5" t="s">
        <v>147</v>
      </c>
      <c r="J26" s="33">
        <f>K26</f>
        <v>78</v>
      </c>
      <c r="K26" s="111">
        <v>78</v>
      </c>
      <c r="L26" s="5" t="s">
        <v>135</v>
      </c>
    </row>
    <row r="27" spans="1:12" ht="15">
      <c r="A27" s="5" t="s">
        <v>139</v>
      </c>
      <c r="B27" s="33">
        <v>0</v>
      </c>
      <c r="C27" s="111">
        <v>19</v>
      </c>
      <c r="D27" s="5" t="s">
        <v>142</v>
      </c>
      <c r="I27" s="5" t="s">
        <v>148</v>
      </c>
      <c r="J27" s="33">
        <f>K27</f>
        <v>38</v>
      </c>
      <c r="K27" s="111">
        <v>38</v>
      </c>
      <c r="L27" s="5" t="s">
        <v>135</v>
      </c>
    </row>
    <row r="28" spans="1:12" ht="15">
      <c r="A28" s="5" t="s">
        <v>140</v>
      </c>
      <c r="B28" s="33">
        <f>C28</f>
        <v>19</v>
      </c>
      <c r="C28" s="111">
        <v>19</v>
      </c>
      <c r="D28" s="5" t="s">
        <v>142</v>
      </c>
      <c r="I28" s="5" t="s">
        <v>150</v>
      </c>
      <c r="J28" s="33">
        <f>K28</f>
        <v>380</v>
      </c>
      <c r="K28" s="111">
        <v>380</v>
      </c>
      <c r="L28" s="5" t="s">
        <v>135</v>
      </c>
    </row>
    <row r="29" spans="1:12" ht="16.5">
      <c r="A29" s="5" t="s">
        <v>144</v>
      </c>
      <c r="B29" s="33">
        <f>C29</f>
        <v>125</v>
      </c>
      <c r="C29" s="111">
        <v>125</v>
      </c>
      <c r="D29" s="5" t="s">
        <v>142</v>
      </c>
      <c r="I29" s="5" t="s">
        <v>155</v>
      </c>
      <c r="J29" s="33">
        <f>K29</f>
        <v>2.95</v>
      </c>
      <c r="K29" s="111">
        <v>2.95</v>
      </c>
      <c r="L29" s="5" t="s">
        <v>135</v>
      </c>
    </row>
    <row r="30" spans="1:12" ht="16.5">
      <c r="A30" s="5" t="s">
        <v>155</v>
      </c>
      <c r="B30" s="33">
        <f>C30</f>
        <v>3.15</v>
      </c>
      <c r="C30" s="111">
        <v>3.15</v>
      </c>
      <c r="D30" s="5" t="s">
        <v>143</v>
      </c>
      <c r="J30" s="21">
        <f>Mest!B25*Mest!B15</f>
        <v>25.294761841931653</v>
      </c>
      <c r="K30" s="19"/>
      <c r="L30" s="5" t="s">
        <v>431</v>
      </c>
    </row>
    <row r="31" spans="2:12" ht="15">
      <c r="B31" s="21">
        <f>Mest!B24*Mest!B14</f>
        <v>480.6004749967014</v>
      </c>
      <c r="C31" s="114"/>
      <c r="D31" s="5" t="s">
        <v>198</v>
      </c>
      <c r="I31" s="5" t="s">
        <v>145</v>
      </c>
      <c r="J31" s="36">
        <f>K31</f>
        <v>26</v>
      </c>
      <c r="K31" s="111">
        <v>26</v>
      </c>
      <c r="L31" s="5" t="s">
        <v>135</v>
      </c>
    </row>
    <row r="32" spans="1:4" ht="15">
      <c r="A32" s="5" t="s">
        <v>145</v>
      </c>
      <c r="B32" s="33">
        <f>C32</f>
        <v>26</v>
      </c>
      <c r="C32" s="111">
        <v>26</v>
      </c>
      <c r="D32" s="5" t="s">
        <v>146</v>
      </c>
    </row>
    <row r="33" ht="15" thickBot="1"/>
    <row r="34" spans="1:12" ht="15" thickBot="1">
      <c r="A34" s="5" t="s">
        <v>153</v>
      </c>
      <c r="B34" s="25">
        <f>(B8)*(J5/100)*B25+B26*B14+B27*B14+B28*B14+B29*B14+B30*B31+B32*(B8)</f>
        <v>11676.374515107535</v>
      </c>
      <c r="D34" s="5" t="s">
        <v>51</v>
      </c>
      <c r="I34" s="5" t="s">
        <v>154</v>
      </c>
      <c r="J34" s="25">
        <f>(J25+J26+J27+J28+J31)*D8+J29*J30</f>
        <v>1135.1195474336985</v>
      </c>
      <c r="L34" s="5" t="s">
        <v>51</v>
      </c>
    </row>
    <row r="36" spans="1:2" ht="16.5">
      <c r="A36" s="127" t="s">
        <v>157</v>
      </c>
      <c r="B36" s="128"/>
    </row>
    <row r="38" ht="15">
      <c r="F38" s="9"/>
    </row>
    <row r="39" ht="15">
      <c r="F39" s="9"/>
    </row>
    <row r="40" ht="15">
      <c r="G40" s="9"/>
    </row>
  </sheetData>
  <sheetProtection sheet="1" objects="1" scenarios="1"/>
  <mergeCells count="1">
    <mergeCell ref="A36:B36"/>
  </mergeCells>
  <hyperlinks>
    <hyperlink ref="A36" location="Mest!A1" display="1 Zie ook tabblad bemesting voor meer detail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/>
  <ignoredErrors>
    <ignoredError sqref="J3:J6 B10:D16 B9 D9 B19:D21 C17:D17 C18:D18 J8:J21" unlockedFormula="1"/>
    <ignoredError sqref="C9" formula="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1.421875" style="5" customWidth="1"/>
    <col min="2" max="2" width="9.140625" style="5" customWidth="1"/>
    <col min="3" max="3" width="8.421875" style="5" customWidth="1"/>
    <col min="4" max="4" width="3.7109375" style="5" customWidth="1"/>
    <col min="5" max="5" width="8.8515625" style="5" customWidth="1"/>
    <col min="6" max="6" width="8.28125" style="5" customWidth="1"/>
    <col min="7" max="7" width="9.140625" style="5" customWidth="1"/>
    <col min="8" max="8" width="5.7109375" style="5" customWidth="1"/>
    <col min="9" max="9" width="9.140625" style="5" customWidth="1"/>
    <col min="10" max="10" width="16.7109375" style="5" customWidth="1"/>
    <col min="11" max="11" width="9.140625" style="5" customWidth="1"/>
    <col min="12" max="12" width="4.7109375" style="5" customWidth="1"/>
    <col min="13" max="13" width="20.28125" style="5" customWidth="1"/>
    <col min="14" max="16384" width="9.140625" style="5" customWidth="1"/>
  </cols>
  <sheetData>
    <row r="1" spans="1:6" ht="15">
      <c r="A1" s="7" t="s">
        <v>200</v>
      </c>
      <c r="B1" s="80" t="s">
        <v>82</v>
      </c>
      <c r="C1" s="80" t="s">
        <v>67</v>
      </c>
      <c r="D1" s="82"/>
      <c r="E1" s="81" t="s">
        <v>84</v>
      </c>
      <c r="F1" s="81" t="s">
        <v>67</v>
      </c>
    </row>
    <row r="2" spans="1:7" ht="15.75" thickBot="1">
      <c r="A2" s="5" t="s">
        <v>83</v>
      </c>
      <c r="B2" s="14">
        <f>'Algemeen en dieraantallen'!B10</f>
        <v>94.04934687953556</v>
      </c>
      <c r="D2" s="9"/>
      <c r="E2" s="14">
        <f>'Algemeen en dieraantallen'!B13</f>
        <v>105.95065312046444</v>
      </c>
      <c r="G2" s="5" t="s">
        <v>43</v>
      </c>
    </row>
    <row r="3" spans="1:15" ht="15.75" thickBot="1">
      <c r="A3" s="5" t="s">
        <v>200</v>
      </c>
      <c r="B3" s="118">
        <f>Hoofdpagina!B29</f>
        <v>38</v>
      </c>
      <c r="C3" s="114"/>
      <c r="D3" s="114"/>
      <c r="E3" s="118">
        <f>Hoofdpagina!B30</f>
        <v>16</v>
      </c>
      <c r="F3" s="9"/>
      <c r="G3" s="5" t="s">
        <v>201</v>
      </c>
      <c r="M3" s="6" t="s">
        <v>209</v>
      </c>
      <c r="N3" s="25">
        <f>B2*B3+E2*E3</f>
        <v>5269.0856313497825</v>
      </c>
      <c r="O3" s="5" t="s">
        <v>51</v>
      </c>
    </row>
    <row r="4" ht="15">
      <c r="D4" s="9"/>
    </row>
    <row r="5" spans="1:6" ht="15">
      <c r="A5" s="7" t="s">
        <v>203</v>
      </c>
      <c r="B5" s="80" t="s">
        <v>82</v>
      </c>
      <c r="C5" s="80" t="s">
        <v>67</v>
      </c>
      <c r="D5" s="82"/>
      <c r="E5" s="81" t="s">
        <v>84</v>
      </c>
      <c r="F5" s="81" t="s">
        <v>67</v>
      </c>
    </row>
    <row r="6" spans="1:7" ht="15">
      <c r="A6" s="5" t="s">
        <v>204</v>
      </c>
      <c r="D6" s="9"/>
      <c r="E6" s="33">
        <v>1.8</v>
      </c>
      <c r="F6" s="2">
        <v>1.8</v>
      </c>
      <c r="G6" s="5" t="s">
        <v>207</v>
      </c>
    </row>
    <row r="7" spans="1:7" ht="15.75" thickBot="1">
      <c r="A7" s="5" t="s">
        <v>205</v>
      </c>
      <c r="D7" s="9"/>
      <c r="E7" s="33">
        <v>11.75</v>
      </c>
      <c r="F7" s="111">
        <v>13.1</v>
      </c>
      <c r="G7" s="5" t="s">
        <v>51</v>
      </c>
    </row>
    <row r="8" spans="1:15" ht="15.75" thickBot="1">
      <c r="A8" s="5" t="s">
        <v>206</v>
      </c>
      <c r="D8" s="9"/>
      <c r="E8" s="33">
        <v>10.5</v>
      </c>
      <c r="F8" s="111">
        <v>15</v>
      </c>
      <c r="G8" s="5" t="s">
        <v>51</v>
      </c>
      <c r="I8" s="5" t="s">
        <v>429</v>
      </c>
      <c r="K8" s="49">
        <f>(E6*(E7+E8))*(12/('Algemeen en dieraantallen'!B4-12))</f>
        <v>36.969230769230776</v>
      </c>
      <c r="M8" s="6" t="s">
        <v>210</v>
      </c>
      <c r="N8" s="25">
        <f>K8*E2</f>
        <v>3916.9141453611705</v>
      </c>
      <c r="O8" s="5" t="s">
        <v>51</v>
      </c>
    </row>
    <row r="9" ht="15">
      <c r="D9" s="9"/>
    </row>
    <row r="10" spans="1:6" ht="15.75" thickBot="1">
      <c r="A10" s="7" t="s">
        <v>212</v>
      </c>
      <c r="B10" s="80" t="s">
        <v>82</v>
      </c>
      <c r="C10" s="80" t="s">
        <v>67</v>
      </c>
      <c r="D10" s="82"/>
      <c r="E10" s="81" t="s">
        <v>84</v>
      </c>
      <c r="F10" s="81" t="s">
        <v>67</v>
      </c>
    </row>
    <row r="11" spans="1:15" ht="15.75" thickBot="1">
      <c r="A11" s="5" t="s">
        <v>208</v>
      </c>
      <c r="B11" s="79">
        <f>C11</f>
        <v>6.95</v>
      </c>
      <c r="C11" s="111">
        <v>6.95</v>
      </c>
      <c r="D11" s="9"/>
      <c r="E11" s="33">
        <f>F11</f>
        <v>6.95</v>
      </c>
      <c r="F11" s="111">
        <v>6.95</v>
      </c>
      <c r="G11" s="5" t="s">
        <v>46</v>
      </c>
      <c r="M11" s="6" t="s">
        <v>213</v>
      </c>
      <c r="N11" s="25">
        <f>B2*B11+E2*E11</f>
        <v>1390</v>
      </c>
      <c r="O11" s="5" t="s">
        <v>51</v>
      </c>
    </row>
    <row r="12" ht="15">
      <c r="D12" s="9"/>
    </row>
    <row r="13" spans="1:6" ht="15">
      <c r="A13" s="7" t="s">
        <v>216</v>
      </c>
      <c r="B13" s="80" t="s">
        <v>82</v>
      </c>
      <c r="C13" s="80" t="s">
        <v>67</v>
      </c>
      <c r="D13" s="82"/>
      <c r="E13" s="81" t="s">
        <v>84</v>
      </c>
      <c r="F13" s="81" t="s">
        <v>67</v>
      </c>
    </row>
    <row r="14" spans="1:6" ht="15">
      <c r="A14" s="5" t="s">
        <v>219</v>
      </c>
      <c r="C14" s="48"/>
      <c r="D14" s="48"/>
      <c r="E14" s="9"/>
      <c r="F14" s="48"/>
    </row>
    <row r="15" spans="1:11" ht="15.75" thickBot="1">
      <c r="A15" s="5" t="s">
        <v>217</v>
      </c>
      <c r="B15" s="79">
        <f>C15</f>
        <v>140</v>
      </c>
      <c r="C15" s="2">
        <f>IF(Hoofdpagina!C63=1,140,65)</f>
        <v>140</v>
      </c>
      <c r="D15" s="9"/>
      <c r="E15" s="33">
        <f>F15</f>
        <v>65</v>
      </c>
      <c r="F15" s="2">
        <f>IF(Hoofdpagina!C66=1,140,65)</f>
        <v>65</v>
      </c>
      <c r="G15" s="5" t="s">
        <v>218</v>
      </c>
      <c r="I15" s="5" t="s">
        <v>222</v>
      </c>
      <c r="K15" s="49">
        <f>(B15/1000)*B16</f>
        <v>16.8</v>
      </c>
    </row>
    <row r="16" spans="1:15" ht="15.75" thickBot="1">
      <c r="A16" s="5" t="s">
        <v>220</v>
      </c>
      <c r="B16" s="79">
        <f>C16</f>
        <v>120</v>
      </c>
      <c r="C16" s="111">
        <f>IF(Hoofdpagina!C63=1,120,200)</f>
        <v>120</v>
      </c>
      <c r="D16" s="9"/>
      <c r="E16" s="33">
        <f>F16</f>
        <v>200</v>
      </c>
      <c r="F16" s="111">
        <f>IF(Hoofdpagina!C66=1,120,200)</f>
        <v>200</v>
      </c>
      <c r="G16" s="5" t="s">
        <v>221</v>
      </c>
      <c r="I16" s="5" t="s">
        <v>223</v>
      </c>
      <c r="K16" s="49">
        <f>(E15/1000)*E16</f>
        <v>13</v>
      </c>
      <c r="M16" s="6" t="s">
        <v>224</v>
      </c>
      <c r="N16" s="25">
        <f>B2*K15+E2*K16</f>
        <v>2957.3875181422354</v>
      </c>
      <c r="O16" s="5" t="s">
        <v>51</v>
      </c>
    </row>
    <row r="17" ht="15">
      <c r="D17" s="9"/>
    </row>
    <row r="18" spans="1:6" ht="15">
      <c r="A18" s="7" t="s">
        <v>225</v>
      </c>
      <c r="B18" s="80" t="s">
        <v>82</v>
      </c>
      <c r="C18" s="80" t="s">
        <v>67</v>
      </c>
      <c r="D18" s="82"/>
      <c r="E18" s="81" t="s">
        <v>84</v>
      </c>
      <c r="F18" s="81" t="s">
        <v>67</v>
      </c>
    </row>
    <row r="19" spans="1:11" ht="15.75" thickBot="1">
      <c r="A19" s="5" t="s">
        <v>226</v>
      </c>
      <c r="B19" s="79">
        <f>C19</f>
        <v>315</v>
      </c>
      <c r="C19" s="111">
        <v>315</v>
      </c>
      <c r="D19" s="9"/>
      <c r="E19" s="33">
        <f>F19</f>
        <v>925</v>
      </c>
      <c r="F19" s="111">
        <v>925</v>
      </c>
      <c r="G19" s="5" t="s">
        <v>201</v>
      </c>
      <c r="I19" s="5" t="s">
        <v>228</v>
      </c>
      <c r="K19" s="49">
        <f>B19*(B20/100)</f>
        <v>11.025</v>
      </c>
    </row>
    <row r="20" spans="1:15" ht="15.75" thickBot="1">
      <c r="A20" s="5" t="s">
        <v>227</v>
      </c>
      <c r="B20" s="2">
        <f>Hoofdpagina!B8</f>
        <v>3.5</v>
      </c>
      <c r="D20" s="9"/>
      <c r="E20" s="2">
        <f>Hoofdpagina!B8</f>
        <v>3.5</v>
      </c>
      <c r="G20" s="5" t="s">
        <v>6</v>
      </c>
      <c r="I20" s="5" t="s">
        <v>229</v>
      </c>
      <c r="K20" s="49">
        <f>E19*(E20/100)</f>
        <v>32.375</v>
      </c>
      <c r="M20" s="6" t="s">
        <v>230</v>
      </c>
      <c r="N20" s="25">
        <f>B2*K19+E2*K20</f>
        <v>4467.046444121916</v>
      </c>
      <c r="O20" s="5" t="s">
        <v>51</v>
      </c>
    </row>
    <row r="21" ht="15">
      <c r="D21" s="9"/>
    </row>
    <row r="22" spans="1:4" ht="15">
      <c r="A22" s="7" t="s">
        <v>231</v>
      </c>
      <c r="D22" s="9"/>
    </row>
    <row r="23" spans="1:6" ht="15">
      <c r="A23" s="11" t="s">
        <v>232</v>
      </c>
      <c r="B23" s="80" t="s">
        <v>82</v>
      </c>
      <c r="C23" s="80" t="s">
        <v>67</v>
      </c>
      <c r="D23" s="82"/>
      <c r="E23" s="81" t="s">
        <v>84</v>
      </c>
      <c r="F23" s="81" t="s">
        <v>67</v>
      </c>
    </row>
    <row r="24" spans="1:7" ht="15">
      <c r="A24" s="5" t="s">
        <v>233</v>
      </c>
      <c r="C24" s="14">
        <f>'Algemeen en dieraantallen'!B10*('Algemeen en dieraantallen'!B6/100)</f>
        <v>1.8809869375907113</v>
      </c>
      <c r="D24" s="83"/>
      <c r="F24" s="14">
        <f>'Algemeen en dieraantallen'!B13*('Algemeen en dieraantallen'!B7/100)</f>
        <v>2.1190130624092887</v>
      </c>
      <c r="G24" s="5" t="s">
        <v>43</v>
      </c>
    </row>
    <row r="25" spans="1:11" ht="15" thickBot="1">
      <c r="A25" s="5" t="s">
        <v>234</v>
      </c>
      <c r="B25" s="79">
        <f>C25</f>
        <v>18.97</v>
      </c>
      <c r="C25" s="111">
        <v>18.97</v>
      </c>
      <c r="D25" s="9"/>
      <c r="E25" s="33">
        <f>F25</f>
        <v>18.97</v>
      </c>
      <c r="F25" s="111">
        <v>18.97</v>
      </c>
      <c r="G25" s="5" t="s">
        <v>243</v>
      </c>
      <c r="I25" s="5" t="s">
        <v>239</v>
      </c>
      <c r="K25" s="49">
        <f>(CEILING(C24,1))*C25+C24*C26</f>
        <v>43.959158200290275</v>
      </c>
    </row>
    <row r="26" spans="1:15" ht="15" thickBot="1">
      <c r="A26" s="5" t="s">
        <v>235</v>
      </c>
      <c r="B26" s="79">
        <f>C26</f>
        <v>3.2</v>
      </c>
      <c r="C26" s="111">
        <v>3.2</v>
      </c>
      <c r="D26" s="9"/>
      <c r="E26" s="33">
        <f>F26</f>
        <v>28.26</v>
      </c>
      <c r="F26" s="111">
        <v>28.26</v>
      </c>
      <c r="G26" s="5" t="s">
        <v>201</v>
      </c>
      <c r="I26" s="5" t="s">
        <v>240</v>
      </c>
      <c r="K26" s="49">
        <f>(CEILING(F24,1))*F25+F24*F26</f>
        <v>116.7933091436865</v>
      </c>
      <c r="M26" s="6" t="s">
        <v>238</v>
      </c>
      <c r="N26" s="25">
        <f>K25+K26</f>
        <v>160.75246734397678</v>
      </c>
      <c r="O26" s="5" t="s">
        <v>51</v>
      </c>
    </row>
    <row r="28" ht="15" hidden="1">
      <c r="A28" s="7"/>
    </row>
    <row r="29" ht="15" hidden="1"/>
    <row r="30" ht="15" hidden="1"/>
    <row r="31" ht="15" hidden="1"/>
    <row r="32" ht="15" hidden="1"/>
    <row r="33" ht="15" hidden="1"/>
    <row r="34" ht="15" hidden="1"/>
  </sheetData>
  <sheetProtection sheet="1" objects="1" scenarios="1"/>
  <hyperlinks>
    <hyperlink ref="A23" location="Algemeen!A1" display="zie voor uitval pagina Algeme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/>
  <ignoredErrors>
    <ignoredError sqref="E3:E4 E17 E11:E12 E19:E22 E24:E26 E15:F15 B24:C24 B20:C22 B12:C12 B6:C9 B15:C15 B4:C4 E9 C3 B11 B17:C17 B16 E16 B19 B26 B25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4.00390625" style="5" customWidth="1"/>
    <col min="2" max="2" width="12.28125" style="5" customWidth="1"/>
    <col min="3" max="3" width="10.140625" style="5" customWidth="1"/>
    <col min="4" max="8" width="9.140625" style="5" customWidth="1"/>
    <col min="9" max="9" width="5.140625" style="5" customWidth="1"/>
    <col min="10" max="16384" width="9.140625" style="5" customWidth="1"/>
  </cols>
  <sheetData>
    <row r="1" ht="15">
      <c r="A1" s="7" t="s">
        <v>26</v>
      </c>
    </row>
    <row r="2" spans="1:3" ht="15">
      <c r="A2" s="127" t="s">
        <v>241</v>
      </c>
      <c r="B2" s="128"/>
      <c r="C2" s="128"/>
    </row>
    <row r="3" spans="2:3" ht="15">
      <c r="B3" s="6" t="s">
        <v>76</v>
      </c>
      <c r="C3" s="6"/>
    </row>
    <row r="4" spans="1:4" ht="15" thickBot="1">
      <c r="A4" s="5" t="s">
        <v>242</v>
      </c>
      <c r="B4" s="20">
        <f>Ruwvoer!B8+Ruwvoer!D8</f>
        <v>30</v>
      </c>
      <c r="D4" s="5" t="s">
        <v>128</v>
      </c>
    </row>
    <row r="5" spans="1:13" ht="15" thickBot="1">
      <c r="A5" s="5" t="s">
        <v>244</v>
      </c>
      <c r="B5" s="2">
        <f>Hoofdpagina!B37</f>
        <v>600</v>
      </c>
      <c r="D5" s="5" t="s">
        <v>135</v>
      </c>
      <c r="K5" s="6" t="s">
        <v>245</v>
      </c>
      <c r="L5" s="25">
        <f>B4*B5</f>
        <v>18000</v>
      </c>
      <c r="M5" s="5" t="s">
        <v>51</v>
      </c>
    </row>
    <row r="7" spans="1:3" ht="15">
      <c r="A7" s="7" t="s">
        <v>10</v>
      </c>
      <c r="B7" s="6" t="s">
        <v>76</v>
      </c>
      <c r="C7" s="6" t="s">
        <v>67</v>
      </c>
    </row>
    <row r="8" spans="1:4" ht="15">
      <c r="A8" s="5" t="s">
        <v>246</v>
      </c>
      <c r="B8" s="37">
        <f>C8</f>
        <v>94.04934687953556</v>
      </c>
      <c r="C8" s="14">
        <f>'Algemeen en dieraantallen'!B10</f>
        <v>94.04934687953556</v>
      </c>
      <c r="D8" s="5" t="s">
        <v>247</v>
      </c>
    </row>
    <row r="9" spans="1:4" ht="15">
      <c r="A9" s="5" t="s">
        <v>258</v>
      </c>
      <c r="B9" s="111">
        <f>Hoofdpagina!B35</f>
        <v>2405</v>
      </c>
      <c r="D9" s="5" t="s">
        <v>248</v>
      </c>
    </row>
    <row r="10" spans="1:4" ht="15">
      <c r="A10" s="5" t="s">
        <v>249</v>
      </c>
      <c r="B10" s="37">
        <f>C10</f>
        <v>105.95065312046444</v>
      </c>
      <c r="C10" s="14">
        <f>'Algemeen en dieraantallen'!B13</f>
        <v>105.95065312046444</v>
      </c>
      <c r="D10" s="5" t="s">
        <v>247</v>
      </c>
    </row>
    <row r="11" spans="1:4" ht="15">
      <c r="A11" s="5" t="s">
        <v>250</v>
      </c>
      <c r="B11" s="111">
        <f>Hoofdpagina!B36</f>
        <v>2595</v>
      </c>
      <c r="D11" s="5" t="s">
        <v>248</v>
      </c>
    </row>
    <row r="12" spans="1:4" ht="15">
      <c r="A12" s="5" t="s">
        <v>259</v>
      </c>
      <c r="B12" s="33">
        <v>0</v>
      </c>
      <c r="D12" s="5" t="s">
        <v>51</v>
      </c>
    </row>
    <row r="13" spans="1:4" ht="15">
      <c r="A13" s="5" t="s">
        <v>260</v>
      </c>
      <c r="B13" s="33">
        <v>0</v>
      </c>
      <c r="D13" s="5" t="s">
        <v>51</v>
      </c>
    </row>
    <row r="14" spans="1:4" ht="15">
      <c r="A14" s="5" t="s">
        <v>263</v>
      </c>
      <c r="B14" s="21">
        <f>B8*B9+B10*B11+B12+B13</f>
        <v>501130.6240928882</v>
      </c>
      <c r="D14" s="5" t="s">
        <v>51</v>
      </c>
    </row>
    <row r="15" spans="1:8" ht="15">
      <c r="A15" s="5" t="s">
        <v>227</v>
      </c>
      <c r="B15" s="111">
        <f>Hoofdpagina!B8</f>
        <v>3.5</v>
      </c>
      <c r="D15" s="5" t="s">
        <v>6</v>
      </c>
      <c r="E15" s="5" t="s">
        <v>253</v>
      </c>
      <c r="G15" s="21">
        <f>(B14*B15/100)*0.5</f>
        <v>8769.785921625544</v>
      </c>
      <c r="H15" s="5" t="s">
        <v>51</v>
      </c>
    </row>
    <row r="16" spans="1:8" ht="15" thickBot="1">
      <c r="A16" s="5" t="s">
        <v>251</v>
      </c>
      <c r="B16" s="33">
        <f>C16</f>
        <v>3</v>
      </c>
      <c r="C16" s="2">
        <v>3</v>
      </c>
      <c r="D16" s="5" t="s">
        <v>6</v>
      </c>
      <c r="E16" s="5" t="s">
        <v>254</v>
      </c>
      <c r="G16" s="21">
        <f>B14*B16/100</f>
        <v>15033.918722786648</v>
      </c>
      <c r="H16" s="5" t="s">
        <v>51</v>
      </c>
    </row>
    <row r="17" spans="1:13" ht="15" thickBot="1">
      <c r="A17" s="5" t="s">
        <v>252</v>
      </c>
      <c r="B17" s="33">
        <f>C17</f>
        <v>2</v>
      </c>
      <c r="C17" s="2">
        <v>2</v>
      </c>
      <c r="D17" s="5" t="s">
        <v>6</v>
      </c>
      <c r="E17" s="5" t="s">
        <v>255</v>
      </c>
      <c r="G17" s="21">
        <f>B14*B17/100</f>
        <v>10022.612481857765</v>
      </c>
      <c r="H17" s="5" t="s">
        <v>51</v>
      </c>
      <c r="K17" s="6" t="s">
        <v>256</v>
      </c>
      <c r="L17" s="25">
        <f>G15+G16+G17</f>
        <v>33826.317126269954</v>
      </c>
      <c r="M17" s="5" t="s">
        <v>51</v>
      </c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 sheet="1" objects="1" scenarios="1"/>
  <mergeCells count="1">
    <mergeCell ref="A2:C2"/>
  </mergeCells>
  <hyperlinks>
    <hyperlink ref="A2" location="Ruwvoer!A1" display="zie voor oppervlakte grond tabblad Ruwvo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22">
      <selection activeCell="I46" sqref="I46"/>
    </sheetView>
  </sheetViews>
  <sheetFormatPr defaultColWidth="9.140625" defaultRowHeight="15"/>
  <cols>
    <col min="1" max="1" width="38.28125" style="5" customWidth="1"/>
    <col min="2" max="2" width="17.7109375" style="5" bestFit="1" customWidth="1"/>
    <col min="3" max="4" width="9.140625" style="5" customWidth="1"/>
    <col min="5" max="5" width="7.28125" style="5" customWidth="1"/>
    <col min="6" max="6" width="9.140625" style="5" customWidth="1"/>
    <col min="7" max="7" width="7.8515625" style="5" customWidth="1"/>
    <col min="8" max="9" width="9.140625" style="5" customWidth="1"/>
    <col min="10" max="10" width="4.7109375" style="5" customWidth="1"/>
    <col min="11" max="11" width="9.140625" style="5" customWidth="1"/>
    <col min="12" max="12" width="8.28125" style="5" customWidth="1"/>
    <col min="13" max="13" width="19.7109375" style="5" customWidth="1"/>
    <col min="14" max="16384" width="9.140625" style="5" customWidth="1"/>
  </cols>
  <sheetData>
    <row r="1" spans="1:14" ht="15">
      <c r="A1" s="7" t="s">
        <v>164</v>
      </c>
      <c r="F1" s="72" t="s">
        <v>354</v>
      </c>
      <c r="G1" s="51"/>
      <c r="H1" s="51"/>
      <c r="I1" s="51"/>
      <c r="J1" s="51"/>
      <c r="K1" s="51"/>
      <c r="L1" s="51"/>
      <c r="M1" s="51"/>
      <c r="N1" s="53"/>
    </row>
    <row r="2" spans="2:14" ht="15">
      <c r="B2" s="6" t="s">
        <v>76</v>
      </c>
      <c r="C2" s="6" t="s">
        <v>67</v>
      </c>
      <c r="F2" s="54" t="s">
        <v>355</v>
      </c>
      <c r="G2" s="9"/>
      <c r="H2" s="9"/>
      <c r="I2" s="9"/>
      <c r="J2" s="9"/>
      <c r="K2" s="9"/>
      <c r="L2" s="9"/>
      <c r="M2" s="9"/>
      <c r="N2" s="55"/>
    </row>
    <row r="3" spans="1:14" ht="15">
      <c r="A3" s="5" t="s">
        <v>165</v>
      </c>
      <c r="B3" s="14">
        <f>'Algemeen en dieraantallen'!B10</f>
        <v>94.04934687953556</v>
      </c>
      <c r="D3" s="5" t="s">
        <v>43</v>
      </c>
      <c r="F3" s="54" t="s">
        <v>356</v>
      </c>
      <c r="G3" s="9"/>
      <c r="H3" s="9"/>
      <c r="I3" s="9"/>
      <c r="J3" s="9"/>
      <c r="K3" s="9"/>
      <c r="L3" s="9"/>
      <c r="M3" s="9"/>
      <c r="N3" s="55"/>
    </row>
    <row r="4" spans="1:14" ht="15">
      <c r="A4" s="5" t="s">
        <v>166</v>
      </c>
      <c r="B4" s="33">
        <f>C4</f>
        <v>14</v>
      </c>
      <c r="C4" s="2">
        <v>14</v>
      </c>
      <c r="D4" s="5" t="s">
        <v>168</v>
      </c>
      <c r="F4" s="54" t="s">
        <v>357</v>
      </c>
      <c r="G4" s="9"/>
      <c r="H4" s="9"/>
      <c r="I4" s="9"/>
      <c r="J4" s="9"/>
      <c r="K4" s="9"/>
      <c r="L4" s="9"/>
      <c r="M4" s="9"/>
      <c r="N4" s="55"/>
    </row>
    <row r="5" spans="1:14" ht="15">
      <c r="A5" s="5" t="s">
        <v>307</v>
      </c>
      <c r="B5" s="2">
        <f>Rantsoen!B9</f>
        <v>275</v>
      </c>
      <c r="D5" s="5" t="s">
        <v>52</v>
      </c>
      <c r="F5" s="54" t="s">
        <v>390</v>
      </c>
      <c r="G5" s="9"/>
      <c r="H5" s="9"/>
      <c r="I5" s="9"/>
      <c r="J5" s="9"/>
      <c r="K5" s="9"/>
      <c r="L5" s="9"/>
      <c r="M5" s="9"/>
      <c r="N5" s="55"/>
    </row>
    <row r="6" spans="1:14" ht="15">
      <c r="A6" s="5" t="s">
        <v>167</v>
      </c>
      <c r="B6" s="14">
        <f>'Algemeen en dieraantallen'!B13</f>
        <v>105.95065312046444</v>
      </c>
      <c r="D6" s="5" t="s">
        <v>43</v>
      </c>
      <c r="F6" s="54" t="s">
        <v>358</v>
      </c>
      <c r="G6" s="9"/>
      <c r="H6" s="9"/>
      <c r="I6" s="9"/>
      <c r="J6" s="9"/>
      <c r="K6" s="9"/>
      <c r="L6" s="9"/>
      <c r="M6" s="9"/>
      <c r="N6" s="55"/>
    </row>
    <row r="7" spans="1:14" ht="15">
      <c r="A7" s="5" t="s">
        <v>166</v>
      </c>
      <c r="B7" s="33">
        <f>C7</f>
        <v>33</v>
      </c>
      <c r="C7" s="2">
        <v>33</v>
      </c>
      <c r="D7" s="5" t="s">
        <v>168</v>
      </c>
      <c r="F7" s="54" t="s">
        <v>393</v>
      </c>
      <c r="G7" s="9"/>
      <c r="H7" s="9"/>
      <c r="I7" s="9"/>
      <c r="J7" s="9"/>
      <c r="K7" s="9"/>
      <c r="L7" s="9"/>
      <c r="M7" s="9"/>
      <c r="N7" s="55"/>
    </row>
    <row r="8" spans="1:14" ht="15">
      <c r="A8" s="5" t="s">
        <v>307</v>
      </c>
      <c r="B8" s="21">
        <f>Rantsoen!E9</f>
        <v>185</v>
      </c>
      <c r="D8" s="5" t="s">
        <v>52</v>
      </c>
      <c r="F8" s="54" t="s">
        <v>359</v>
      </c>
      <c r="G8" s="9"/>
      <c r="H8" s="9"/>
      <c r="I8" s="9"/>
      <c r="J8" s="9"/>
      <c r="K8" s="9"/>
      <c r="L8" s="9"/>
      <c r="M8" s="9"/>
      <c r="N8" s="55"/>
    </row>
    <row r="9" spans="6:14" ht="15">
      <c r="F9" s="54" t="s">
        <v>361</v>
      </c>
      <c r="G9" s="9"/>
      <c r="H9" s="9"/>
      <c r="I9" s="9"/>
      <c r="J9" s="9"/>
      <c r="K9" s="9"/>
      <c r="L9" s="9"/>
      <c r="M9" s="9"/>
      <c r="N9" s="55"/>
    </row>
    <row r="10" spans="1:14" ht="15" thickBot="1">
      <c r="A10" s="5" t="s">
        <v>169</v>
      </c>
      <c r="B10" s="21">
        <f>(B3*B4*B5+B6*B7*B8)/1000</f>
        <v>1008.9187227866473</v>
      </c>
      <c r="D10" s="5" t="s">
        <v>170</v>
      </c>
      <c r="F10" s="60" t="s">
        <v>360</v>
      </c>
      <c r="G10" s="61"/>
      <c r="H10" s="61"/>
      <c r="I10" s="61"/>
      <c r="J10" s="61"/>
      <c r="K10" s="61"/>
      <c r="L10" s="61"/>
      <c r="M10" s="61"/>
      <c r="N10" s="63"/>
    </row>
    <row r="11" spans="1:4" ht="15">
      <c r="A11" s="5" t="s">
        <v>171</v>
      </c>
      <c r="B11" s="33">
        <f>C11</f>
        <v>4.4</v>
      </c>
      <c r="C11" s="17">
        <v>4.4</v>
      </c>
      <c r="D11" s="5" t="s">
        <v>172</v>
      </c>
    </row>
    <row r="13" ht="15">
      <c r="A13" s="8" t="s">
        <v>179</v>
      </c>
    </row>
    <row r="14" spans="1:4" ht="15">
      <c r="A14" s="19" t="s">
        <v>177</v>
      </c>
      <c r="B14" s="20">
        <f>Ruwvoer!B8</f>
        <v>28.5</v>
      </c>
      <c r="D14" s="5" t="s">
        <v>128</v>
      </c>
    </row>
    <row r="15" spans="1:4" ht="15">
      <c r="A15" s="5" t="s">
        <v>178</v>
      </c>
      <c r="B15" s="20">
        <f>Ruwvoer!D8</f>
        <v>1.5</v>
      </c>
      <c r="C15" s="9"/>
      <c r="D15" s="5" t="s">
        <v>128</v>
      </c>
    </row>
    <row r="16" spans="1:3" ht="15">
      <c r="A16" s="5" t="s">
        <v>437</v>
      </c>
      <c r="B16" s="20"/>
      <c r="C16" s="9"/>
    </row>
    <row r="17" spans="1:5" ht="15">
      <c r="A17" s="5" t="s">
        <v>180</v>
      </c>
      <c r="B17" s="33">
        <f>C17</f>
        <v>230</v>
      </c>
      <c r="C17" s="24">
        <f>IF(B14+B15&gt;0,C48,0)</f>
        <v>230</v>
      </c>
      <c r="D17" s="5" t="s">
        <v>181</v>
      </c>
      <c r="E17" s="5" t="s">
        <v>439</v>
      </c>
    </row>
    <row r="18" spans="1:4" ht="15">
      <c r="A18" s="5" t="s">
        <v>433</v>
      </c>
      <c r="B18" s="70">
        <f>C18</f>
        <v>9113.303338171263</v>
      </c>
      <c r="C18" s="119">
        <f>(B3*32.3+B6*66.9)*(1-(Ruwvoer!B4/(Ruwvoer!B3+Ruwvoer!B4+Ruwvoer!B5)))</f>
        <v>9113.303338171263</v>
      </c>
      <c r="D18" s="5" t="s">
        <v>434</v>
      </c>
    </row>
    <row r="19" spans="1:4" ht="15" thickBot="1">
      <c r="A19" s="5" t="s">
        <v>183</v>
      </c>
      <c r="B19" s="21">
        <f>B17*(B14+B15)</f>
        <v>6900</v>
      </c>
      <c r="D19" s="5" t="s">
        <v>182</v>
      </c>
    </row>
    <row r="20" spans="1:15" ht="15" thickBot="1">
      <c r="A20" s="5" t="s">
        <v>184</v>
      </c>
      <c r="B20" s="21">
        <f>(B18-B19)/B11</f>
        <v>503.0234859480143</v>
      </c>
      <c r="D20" s="5" t="s">
        <v>391</v>
      </c>
      <c r="G20" s="5" t="s">
        <v>186</v>
      </c>
      <c r="I20" s="111">
        <f>Hoofdpagina!B40</f>
        <v>12</v>
      </c>
      <c r="J20" s="5" t="s">
        <v>143</v>
      </c>
      <c r="M20" s="6" t="s">
        <v>214</v>
      </c>
      <c r="N20" s="25">
        <f>B20*I20</f>
        <v>6036.281831376172</v>
      </c>
      <c r="O20" s="5" t="s">
        <v>51</v>
      </c>
    </row>
    <row r="21" spans="1:4" ht="15">
      <c r="A21" s="5" t="s">
        <v>185</v>
      </c>
      <c r="B21" s="21">
        <f>+IF(B10&gt;B20,B10-B20,0)</f>
        <v>505.895236838633</v>
      </c>
      <c r="D21" s="5" t="s">
        <v>170</v>
      </c>
    </row>
    <row r="23" ht="15">
      <c r="A23" s="7" t="s">
        <v>173</v>
      </c>
    </row>
    <row r="24" spans="1:4" ht="15">
      <c r="A24" s="5" t="s">
        <v>174</v>
      </c>
      <c r="B24" s="21">
        <f>IF(B21&gt;0,(B21-(B15*B25))/B14,0)</f>
        <v>16.863174561287767</v>
      </c>
      <c r="C24" s="28">
        <f>IF(B14&gt;0,B21/(B14+B15),0)</f>
        <v>16.863174561287767</v>
      </c>
      <c r="D24" s="5" t="s">
        <v>176</v>
      </c>
    </row>
    <row r="25" spans="1:4" ht="15">
      <c r="A25" s="5" t="s">
        <v>175</v>
      </c>
      <c r="B25" s="70">
        <f>C25</f>
        <v>16.863174561287767</v>
      </c>
      <c r="C25" s="21">
        <f>C24</f>
        <v>16.863174561287767</v>
      </c>
      <c r="D25" s="5" t="s">
        <v>176</v>
      </c>
    </row>
    <row r="27" ht="15">
      <c r="A27" s="7" t="s">
        <v>187</v>
      </c>
    </row>
    <row r="28" spans="1:4" ht="15">
      <c r="A28" s="5" t="s">
        <v>188</v>
      </c>
      <c r="B28" s="33">
        <f>C28</f>
        <v>250</v>
      </c>
      <c r="C28" s="111">
        <f>VLOOKUP("*",Hoofdpagina!D55:M60,9,1)</f>
        <v>250</v>
      </c>
      <c r="D28" s="5" t="s">
        <v>181</v>
      </c>
    </row>
    <row r="29" spans="1:5" ht="15">
      <c r="A29" s="5" t="s">
        <v>191</v>
      </c>
      <c r="B29" s="33">
        <f>C29</f>
        <v>45</v>
      </c>
      <c r="C29" s="2">
        <v>45</v>
      </c>
      <c r="D29" s="5" t="s">
        <v>6</v>
      </c>
      <c r="E29" s="5" t="s">
        <v>430</v>
      </c>
    </row>
    <row r="30" spans="1:4" ht="15">
      <c r="A30" s="5" t="s">
        <v>199</v>
      </c>
      <c r="B30" s="21">
        <f>B28-(B24*B11*B29/100)</f>
        <v>216.6109143686502</v>
      </c>
      <c r="C30" s="9"/>
      <c r="D30" s="5" t="s">
        <v>181</v>
      </c>
    </row>
    <row r="32" spans="1:4" ht="15">
      <c r="A32" s="5" t="s">
        <v>189</v>
      </c>
      <c r="B32" s="33">
        <f>C32</f>
        <v>112</v>
      </c>
      <c r="C32" s="111">
        <f>IF(C17&gt;170,VLOOKUP("*",Hoofdpagina!D55:N60,10,1),VLOOKUP("*",Hoofdpagina!D55:N60,11,1))</f>
        <v>112</v>
      </c>
      <c r="D32" s="5" t="s">
        <v>181</v>
      </c>
    </row>
    <row r="33" spans="1:5" ht="15">
      <c r="A33" s="5" t="s">
        <v>192</v>
      </c>
      <c r="B33" s="33">
        <f>C33</f>
        <v>45</v>
      </c>
      <c r="C33" s="2">
        <v>45</v>
      </c>
      <c r="D33" s="5" t="s">
        <v>6</v>
      </c>
      <c r="E33" s="5" t="s">
        <v>430</v>
      </c>
    </row>
    <row r="34" spans="1:15" ht="15">
      <c r="A34" s="5" t="s">
        <v>199</v>
      </c>
      <c r="B34" s="21">
        <f>B32-(B25*B11*B33/100)</f>
        <v>78.61091436865021</v>
      </c>
      <c r="C34" s="9"/>
      <c r="D34" s="5" t="s">
        <v>181</v>
      </c>
      <c r="G34" s="5" t="s">
        <v>193</v>
      </c>
      <c r="I34" s="120">
        <v>0.93</v>
      </c>
      <c r="J34" s="5" t="s">
        <v>194</v>
      </c>
      <c r="M34" s="6" t="s">
        <v>215</v>
      </c>
      <c r="N34" s="21">
        <f>(B14*B30+B15*B34)*I34</f>
        <v>5850.934510885342</v>
      </c>
      <c r="O34" s="5" t="s">
        <v>51</v>
      </c>
    </row>
    <row r="35" spans="13:15" ht="15" thickBot="1">
      <c r="M35" s="6" t="s">
        <v>195</v>
      </c>
      <c r="N35" s="107">
        <f>(VLOOKUP("*",Hoofdpagina!D55:M60,7,1))*B14*(Ruwvoer!J5/100)</f>
        <v>612.75</v>
      </c>
      <c r="O35" s="5" t="s">
        <v>51</v>
      </c>
    </row>
    <row r="36" spans="13:15" ht="15" thickBot="1">
      <c r="M36" s="6" t="s">
        <v>196</v>
      </c>
      <c r="N36" s="25">
        <f>SUM(N34:N35)</f>
        <v>6463.684510885342</v>
      </c>
      <c r="O36" s="5" t="s">
        <v>51</v>
      </c>
    </row>
    <row r="37" spans="1:13" ht="15">
      <c r="A37" s="8" t="s">
        <v>450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16"/>
    </row>
    <row r="38" spans="1:13" ht="15">
      <c r="A38" s="19" t="s">
        <v>451</v>
      </c>
      <c r="B38" s="121">
        <f>C38</f>
        <v>3223.193033381712</v>
      </c>
      <c r="C38" s="119">
        <f>B3*9.6+B6*21.9</f>
        <v>3223.193033381712</v>
      </c>
      <c r="D38" s="19" t="s">
        <v>452</v>
      </c>
      <c r="E38" s="19"/>
      <c r="F38" s="19"/>
      <c r="G38" s="19"/>
      <c r="H38" s="19"/>
      <c r="I38" s="19"/>
      <c r="J38" s="19"/>
      <c r="K38" s="19"/>
      <c r="L38" s="19"/>
      <c r="M38" s="116"/>
    </row>
    <row r="39" spans="1:13" ht="15">
      <c r="A39" s="19" t="s">
        <v>457</v>
      </c>
      <c r="B39" s="121">
        <f>C39</f>
        <v>3223.193033381712</v>
      </c>
      <c r="C39" s="119">
        <f>C38</f>
        <v>3223.193033381712</v>
      </c>
      <c r="D39" s="19" t="s">
        <v>460</v>
      </c>
      <c r="E39" s="19"/>
      <c r="F39" s="19"/>
      <c r="G39" s="19" t="s">
        <v>461</v>
      </c>
      <c r="H39" s="19"/>
      <c r="I39" s="19"/>
      <c r="J39" s="19"/>
      <c r="K39" s="19"/>
      <c r="L39" s="19"/>
      <c r="M39" s="116"/>
    </row>
    <row r="40" spans="1:13" ht="15" thickBot="1">
      <c r="A40" s="19" t="s">
        <v>458</v>
      </c>
      <c r="B40" s="121">
        <v>150</v>
      </c>
      <c r="C40" s="119">
        <v>150</v>
      </c>
      <c r="D40" s="19" t="s">
        <v>453</v>
      </c>
      <c r="E40" s="19"/>
      <c r="F40" s="19"/>
      <c r="G40" s="19" t="s">
        <v>462</v>
      </c>
      <c r="H40" s="19"/>
      <c r="I40" s="19"/>
      <c r="J40" s="19"/>
      <c r="K40" s="19"/>
      <c r="L40" s="19"/>
      <c r="M40" s="116"/>
    </row>
    <row r="41" spans="1:15" ht="15" thickBot="1">
      <c r="A41" s="19" t="s">
        <v>459</v>
      </c>
      <c r="B41" s="119">
        <f>IF(B38&gt;B39,(B38-B39)*B40,0)</f>
        <v>0</v>
      </c>
      <c r="C41" s="19"/>
      <c r="D41" s="19" t="s">
        <v>51</v>
      </c>
      <c r="E41" s="19"/>
      <c r="F41" s="19"/>
      <c r="G41" s="19"/>
      <c r="H41" s="19"/>
      <c r="I41" s="19"/>
      <c r="J41" s="19"/>
      <c r="K41" s="19"/>
      <c r="L41" s="19"/>
      <c r="M41" s="116" t="s">
        <v>463</v>
      </c>
      <c r="N41" s="25">
        <f>((B41/2)*Hoofdpagina!B8/100)+(B41*0.1)</f>
        <v>0</v>
      </c>
      <c r="O41" s="5" t="s">
        <v>51</v>
      </c>
    </row>
    <row r="42" ht="15">
      <c r="M42" s="6"/>
    </row>
    <row r="43" ht="15">
      <c r="A43" s="5" t="s">
        <v>435</v>
      </c>
    </row>
    <row r="47" spans="5:6" ht="15" hidden="1">
      <c r="E47" s="34"/>
      <c r="F47" s="16">
        <v>2</v>
      </c>
    </row>
    <row r="48" spans="1:6" ht="15" hidden="1">
      <c r="A48" s="16" t="s">
        <v>444</v>
      </c>
      <c r="B48" s="16">
        <f>IF(F47&lt;3,VLOOKUP("*",Hoofdpagina!$D$55:$O$60,12,TRUE),250)</f>
        <v>230</v>
      </c>
      <c r="C48" s="16">
        <f>IF(B15/(B14+B15)&lt;0.2,B48,170)</f>
        <v>230</v>
      </c>
      <c r="D48" s="16"/>
      <c r="E48" s="16">
        <v>1</v>
      </c>
      <c r="F48" s="16" t="s">
        <v>442</v>
      </c>
    </row>
    <row r="49" spans="1:6" ht="15" hidden="1">
      <c r="A49" s="16" t="s">
        <v>445</v>
      </c>
      <c r="B49" s="16"/>
      <c r="C49" s="16">
        <v>112</v>
      </c>
      <c r="D49" s="16"/>
      <c r="E49" s="16">
        <v>2</v>
      </c>
      <c r="F49" s="16" t="s">
        <v>443</v>
      </c>
    </row>
    <row r="50" spans="2:6" ht="15" hidden="1">
      <c r="B50" s="16"/>
      <c r="C50" s="16"/>
      <c r="D50" s="16"/>
      <c r="E50" s="16">
        <v>3</v>
      </c>
      <c r="F50" s="16" t="s">
        <v>438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ignoredErrors>
    <ignoredError sqref="B4:B13 B17 B21:B23 B25:B33 B19" unlockedFormula="1"/>
  </ignoredError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2.7109375" style="5" customWidth="1"/>
    <col min="2" max="3" width="12.00390625" style="5" customWidth="1"/>
    <col min="4" max="4" width="5.00390625" style="5" customWidth="1"/>
    <col min="5" max="5" width="10.00390625" style="5" customWidth="1"/>
    <col min="6" max="6" width="11.28125" style="5" customWidth="1"/>
    <col min="7" max="16384" width="9.140625" style="5" customWidth="1"/>
  </cols>
  <sheetData>
    <row r="1" ht="15">
      <c r="A1" s="7" t="s">
        <v>326</v>
      </c>
    </row>
    <row r="2" spans="2:4" ht="15">
      <c r="B2" s="6" t="s">
        <v>76</v>
      </c>
      <c r="C2" s="6" t="s">
        <v>67</v>
      </c>
      <c r="D2" s="6"/>
    </row>
    <row r="3" spans="1:5" ht="15">
      <c r="A3" s="5" t="s">
        <v>257</v>
      </c>
      <c r="B3" s="79">
        <v>0</v>
      </c>
      <c r="C3" s="111">
        <v>7500</v>
      </c>
      <c r="D3" s="9"/>
      <c r="E3" s="5" t="s">
        <v>51</v>
      </c>
    </row>
    <row r="4" spans="1:5" ht="15">
      <c r="A4" s="5" t="s">
        <v>261</v>
      </c>
      <c r="B4" s="79">
        <v>0</v>
      </c>
      <c r="C4" s="2">
        <f>(CEILING(('Algemeen en dieraantallen'!B10/50),1))*5500</f>
        <v>11000</v>
      </c>
      <c r="D4" s="9"/>
      <c r="E4" s="5" t="s">
        <v>51</v>
      </c>
    </row>
    <row r="5" spans="1:5" ht="15">
      <c r="A5" s="5" t="s">
        <v>262</v>
      </c>
      <c r="B5" s="79">
        <v>0</v>
      </c>
      <c r="C5" s="2">
        <v>7000</v>
      </c>
      <c r="D5" s="9"/>
      <c r="E5" s="5" t="s">
        <v>51</v>
      </c>
    </row>
    <row r="6" spans="1:5" ht="15">
      <c r="A6" s="5" t="s">
        <v>327</v>
      </c>
      <c r="B6" s="33">
        <v>0</v>
      </c>
      <c r="D6" s="9"/>
      <c r="E6" s="5" t="s">
        <v>51</v>
      </c>
    </row>
    <row r="7" spans="1:5" ht="15">
      <c r="A7" s="5" t="s">
        <v>328</v>
      </c>
      <c r="B7" s="2">
        <f>B3+B4+B5+B6</f>
        <v>0</v>
      </c>
      <c r="D7" s="9"/>
      <c r="E7" s="5" t="s">
        <v>51</v>
      </c>
    </row>
    <row r="8" spans="1:9" ht="15">
      <c r="A8" s="5" t="s">
        <v>227</v>
      </c>
      <c r="B8" s="2">
        <f>Hoofdpagina!B8</f>
        <v>3.5</v>
      </c>
      <c r="D8" s="9"/>
      <c r="E8" s="5" t="s">
        <v>6</v>
      </c>
      <c r="F8" s="5" t="s">
        <v>253</v>
      </c>
      <c r="H8" s="21">
        <f>(B7*B8/100)*0.55</f>
        <v>0</v>
      </c>
      <c r="I8" s="5" t="s">
        <v>51</v>
      </c>
    </row>
    <row r="9" spans="1:9" ht="15">
      <c r="A9" s="5" t="s">
        <v>251</v>
      </c>
      <c r="B9" s="79">
        <f>C9</f>
        <v>10</v>
      </c>
      <c r="C9" s="2">
        <v>10</v>
      </c>
      <c r="D9" s="9"/>
      <c r="E9" s="5" t="s">
        <v>6</v>
      </c>
      <c r="F9" s="5" t="s">
        <v>254</v>
      </c>
      <c r="H9" s="2">
        <f>B7*B9/100</f>
        <v>0</v>
      </c>
      <c r="I9" s="5" t="s">
        <v>51</v>
      </c>
    </row>
    <row r="10" spans="1:9" ht="15" thickBot="1">
      <c r="A10" s="5" t="s">
        <v>264</v>
      </c>
      <c r="B10" s="79">
        <f>C10</f>
        <v>10</v>
      </c>
      <c r="C10" s="2">
        <v>10</v>
      </c>
      <c r="D10" s="9"/>
      <c r="E10" s="5" t="s">
        <v>6</v>
      </c>
      <c r="F10" s="5" t="s">
        <v>255</v>
      </c>
      <c r="H10" s="2">
        <f>B3*B10/100</f>
        <v>0</v>
      </c>
      <c r="I10" s="5" t="s">
        <v>51</v>
      </c>
    </row>
    <row r="11" spans="1:14" ht="15" thickBot="1">
      <c r="A11" s="5" t="s">
        <v>329</v>
      </c>
      <c r="B11" s="79">
        <f>C11</f>
        <v>2</v>
      </c>
      <c r="C11" s="2">
        <v>2</v>
      </c>
      <c r="D11" s="9"/>
      <c r="E11" s="5" t="s">
        <v>6</v>
      </c>
      <c r="F11" s="5" t="s">
        <v>255</v>
      </c>
      <c r="H11" s="2">
        <f>(B7-B3)*B11/100</f>
        <v>0</v>
      </c>
      <c r="I11" s="5" t="s">
        <v>51</v>
      </c>
      <c r="L11" s="6" t="s">
        <v>265</v>
      </c>
      <c r="M11" s="25">
        <f>H8+H9+H10+H11</f>
        <v>0</v>
      </c>
      <c r="N11" s="5" t="s">
        <v>51</v>
      </c>
    </row>
    <row r="12" ht="15">
      <c r="D12" s="9"/>
    </row>
    <row r="13" spans="1:6" ht="15">
      <c r="A13" s="7" t="s">
        <v>299</v>
      </c>
      <c r="B13" s="80" t="s">
        <v>82</v>
      </c>
      <c r="C13" s="80" t="s">
        <v>67</v>
      </c>
      <c r="D13" s="82"/>
      <c r="E13" s="81" t="s">
        <v>84</v>
      </c>
      <c r="F13" s="81" t="s">
        <v>67</v>
      </c>
    </row>
    <row r="14" spans="1:7" ht="15">
      <c r="A14" s="5" t="s">
        <v>266</v>
      </c>
      <c r="B14" s="14">
        <f>'Algemeen en dieraantallen'!B10</f>
        <v>94.04934687953556</v>
      </c>
      <c r="D14" s="9"/>
      <c r="E14" s="14">
        <f>'Algemeen en dieraantallen'!B13</f>
        <v>105.95065312046444</v>
      </c>
      <c r="G14" s="5" t="s">
        <v>43</v>
      </c>
    </row>
    <row r="15" spans="1:7" ht="15">
      <c r="A15" s="5" t="s">
        <v>267</v>
      </c>
      <c r="B15" s="86">
        <f>C15</f>
        <v>208.37942620832257</v>
      </c>
      <c r="C15" s="21">
        <f>((45+'Algemeen en dieraantallen'!B10*13)/365)*60</f>
        <v>208.37942620832257</v>
      </c>
      <c r="D15" s="29"/>
      <c r="E15" s="70">
        <f>F15</f>
        <v>79.52919657236018</v>
      </c>
      <c r="F15" s="28">
        <f>((60+'Algemeen en dieraantallen'!B13*4)/365)*60</f>
        <v>79.52919657236018</v>
      </c>
      <c r="G15" s="5" t="s">
        <v>405</v>
      </c>
    </row>
    <row r="16" spans="1:7" ht="15">
      <c r="A16" s="5" t="s">
        <v>269</v>
      </c>
      <c r="B16" s="86">
        <f>C16</f>
        <v>0</v>
      </c>
      <c r="C16" s="21">
        <f>IF(B3&gt;0,((0.5*'Algemeen en dieraantallen'!B10)/365)*60,0)</f>
        <v>0</v>
      </c>
      <c r="D16" s="29"/>
      <c r="E16" s="70">
        <f>F16</f>
        <v>0</v>
      </c>
      <c r="F16" s="28">
        <f>IF(B3&gt;0,((0.5*'Algemeen en dieraantallen'!B13)/365)*60,0)</f>
        <v>0</v>
      </c>
      <c r="G16" s="5" t="s">
        <v>405</v>
      </c>
    </row>
    <row r="17" spans="1:7" ht="15">
      <c r="A17" s="5" t="s">
        <v>270</v>
      </c>
      <c r="B17" s="86">
        <f>C17</f>
        <v>0</v>
      </c>
      <c r="C17" s="21">
        <f>IF(B4&gt;0,((3*'Algemeen en dieraantallen'!B10)/365)*60,0)</f>
        <v>0</v>
      </c>
      <c r="D17" s="29"/>
      <c r="G17" s="5" t="s">
        <v>405</v>
      </c>
    </row>
    <row r="18" spans="1:7" ht="15">
      <c r="A18" s="5" t="s">
        <v>271</v>
      </c>
      <c r="B18" s="86">
        <f>C18</f>
        <v>0</v>
      </c>
      <c r="C18" s="21">
        <f>IF(B5&gt;0,((1*'Algemeen en dieraantallen'!B10)/365)*60,0)</f>
        <v>0</v>
      </c>
      <c r="D18" s="29"/>
      <c r="E18" s="33">
        <f>F18</f>
        <v>0</v>
      </c>
      <c r="F18" s="24">
        <v>0</v>
      </c>
      <c r="G18" s="5" t="s">
        <v>405</v>
      </c>
    </row>
    <row r="19" spans="1:7" ht="15">
      <c r="A19" s="5" t="s">
        <v>272</v>
      </c>
      <c r="B19" s="79">
        <v>0</v>
      </c>
      <c r="C19" s="2">
        <v>0</v>
      </c>
      <c r="D19" s="9"/>
      <c r="E19" s="33">
        <f>F19</f>
        <v>0</v>
      </c>
      <c r="F19" s="24">
        <v>0</v>
      </c>
      <c r="G19" s="5" t="s">
        <v>405</v>
      </c>
    </row>
    <row r="20" spans="1:7" ht="15" thickBot="1">
      <c r="A20" s="5" t="s">
        <v>347</v>
      </c>
      <c r="B20" s="21">
        <f>B15-B16-B17-B18-B19</f>
        <v>208.37942620832257</v>
      </c>
      <c r="D20" s="9"/>
      <c r="E20" s="21">
        <f>E15-E16-E17-E18-E19</f>
        <v>79.52919657236018</v>
      </c>
      <c r="G20" s="5" t="s">
        <v>405</v>
      </c>
    </row>
    <row r="21" spans="1:14" ht="15" thickBot="1">
      <c r="A21" s="5" t="s">
        <v>273</v>
      </c>
      <c r="B21" s="21">
        <f>(B20/60)*365</f>
        <v>1267.6415094339623</v>
      </c>
      <c r="D21" s="9"/>
      <c r="E21" s="21">
        <f>(E20/60)*365</f>
        <v>483.80261248185775</v>
      </c>
      <c r="G21" s="5" t="s">
        <v>268</v>
      </c>
      <c r="L21" s="6" t="s">
        <v>346</v>
      </c>
      <c r="M21" s="25">
        <f>B21+E21</f>
        <v>1751.44412191582</v>
      </c>
      <c r="N21" s="5" t="s">
        <v>305</v>
      </c>
    </row>
    <row r="22" ht="15">
      <c r="D22" s="9"/>
    </row>
    <row r="23" spans="1:5" ht="15">
      <c r="A23" s="7" t="s">
        <v>301</v>
      </c>
      <c r="B23" s="6" t="s">
        <v>348</v>
      </c>
      <c r="C23" s="6" t="s">
        <v>76</v>
      </c>
      <c r="D23" s="48"/>
      <c r="E23" s="6" t="s">
        <v>67</v>
      </c>
    </row>
    <row r="24" spans="1:7" ht="15">
      <c r="A24" s="5" t="s">
        <v>127</v>
      </c>
      <c r="C24" s="20">
        <f>Ruwvoer!B14</f>
        <v>51.39753265602322</v>
      </c>
      <c r="D24" s="85"/>
      <c r="G24" s="5" t="s">
        <v>128</v>
      </c>
    </row>
    <row r="25" spans="1:7" ht="15">
      <c r="A25" s="5" t="s">
        <v>138</v>
      </c>
      <c r="B25" s="3" t="str">
        <f>IF(Ruwvoer!B26&gt;0,"Ja","Nee")</f>
        <v>Ja</v>
      </c>
      <c r="C25" s="79">
        <f>IF(B25="ja",0,D25)</f>
        <v>0</v>
      </c>
      <c r="D25" s="129">
        <v>0.5</v>
      </c>
      <c r="E25" s="130"/>
      <c r="G25" s="5" t="s">
        <v>302</v>
      </c>
    </row>
    <row r="26" spans="1:7" ht="15">
      <c r="A26" s="5" t="s">
        <v>139</v>
      </c>
      <c r="B26" s="3" t="str">
        <f>IF(Ruwvoer!B27&gt;0,"Ja","Nee")</f>
        <v>Nee</v>
      </c>
      <c r="C26" s="79">
        <f>IF(B26="ja",0,D26)</f>
        <v>0.6</v>
      </c>
      <c r="D26" s="129">
        <v>0.6</v>
      </c>
      <c r="E26" s="130"/>
      <c r="G26" s="5" t="s">
        <v>306</v>
      </c>
    </row>
    <row r="27" spans="1:7" ht="15">
      <c r="A27" s="5" t="s">
        <v>140</v>
      </c>
      <c r="B27" s="3" t="str">
        <f>IF(Ruwvoer!B28&gt;0,"Ja","Nee")</f>
        <v>Ja</v>
      </c>
      <c r="C27" s="79">
        <f>IF(B27="ja",0,D27)</f>
        <v>0</v>
      </c>
      <c r="D27" s="129">
        <v>0.4</v>
      </c>
      <c r="E27" s="130"/>
      <c r="G27" s="5" t="s">
        <v>302</v>
      </c>
    </row>
    <row r="28" spans="1:7" ht="15">
      <c r="A28" s="5" t="s">
        <v>144</v>
      </c>
      <c r="B28" s="3" t="str">
        <f>IF(Ruwvoer!B29&gt;0,"Ja","Nee")</f>
        <v>Ja</v>
      </c>
      <c r="C28" s="79">
        <f>IF(B28="ja",0,D28)</f>
        <v>0</v>
      </c>
      <c r="D28" s="129">
        <v>1</v>
      </c>
      <c r="E28" s="130"/>
      <c r="G28" s="5" t="s">
        <v>302</v>
      </c>
    </row>
    <row r="29" spans="1:7" ht="15">
      <c r="A29" s="5" t="s">
        <v>300</v>
      </c>
      <c r="B29" s="3" t="str">
        <f>IF(Ruwvoer!B30&gt;0,"Ja","Nee")</f>
        <v>Ja</v>
      </c>
      <c r="C29" s="79">
        <f>IF(B29="ja",0,D29)</f>
        <v>0</v>
      </c>
      <c r="D29" s="129">
        <v>1</v>
      </c>
      <c r="E29" s="130"/>
      <c r="G29" s="5" t="s">
        <v>303</v>
      </c>
    </row>
    <row r="30" spans="1:7" ht="15" thickBot="1">
      <c r="A30" s="5" t="s">
        <v>304</v>
      </c>
      <c r="C30" s="21">
        <f>(SUM(C25:C29))*C24</f>
        <v>30.83851959361393</v>
      </c>
      <c r="D30" s="84"/>
      <c r="G30" s="5" t="s">
        <v>305</v>
      </c>
    </row>
    <row r="31" spans="1:14" ht="15" thickBot="1">
      <c r="A31" s="5" t="s">
        <v>275</v>
      </c>
      <c r="B31" s="111">
        <v>27</v>
      </c>
      <c r="G31" s="5" t="s">
        <v>276</v>
      </c>
      <c r="L31" s="6" t="s">
        <v>274</v>
      </c>
      <c r="M31" s="25">
        <f>(B21+E21+C30)*B31</f>
        <v>48121.631320754714</v>
      </c>
      <c r="N31" s="5" t="s">
        <v>51</v>
      </c>
    </row>
    <row r="32" ht="15">
      <c r="A32" s="11" t="s">
        <v>349</v>
      </c>
    </row>
  </sheetData>
  <sheetProtection sheet="1" objects="1" scenarios="1"/>
  <mergeCells count="5">
    <mergeCell ref="D25:E25"/>
    <mergeCell ref="D26:E26"/>
    <mergeCell ref="D27:E27"/>
    <mergeCell ref="D28:E28"/>
    <mergeCell ref="D29:E29"/>
  </mergeCells>
  <hyperlinks>
    <hyperlink ref="A32" location="Ruwvoer!A1" display="* antwoord hangt af van invoer op pagina &quot;Ruwvoer&quot;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/>
  <ignoredErrors>
    <ignoredError sqref="E9:F12 E17:F19 B15:B18 E22:F24 C20:C21 E15:E16 F20:F21 B22:C22 C23 B24:C29 B19:C19 B9:C12 F29 F25 F26 F27 F28 E14:F14 B14:C1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7109375" style="5" customWidth="1"/>
    <col min="2" max="3" width="11.8515625" style="5" customWidth="1"/>
    <col min="4" max="4" width="5.140625" style="9" customWidth="1"/>
    <col min="5" max="6" width="11.8515625" style="5" customWidth="1"/>
    <col min="7" max="16384" width="9.140625" style="5" customWidth="1"/>
  </cols>
  <sheetData>
    <row r="1" spans="1:6" ht="15">
      <c r="A1" s="7" t="s">
        <v>432</v>
      </c>
      <c r="B1" s="80" t="s">
        <v>82</v>
      </c>
      <c r="C1" s="80" t="s">
        <v>67</v>
      </c>
      <c r="D1" s="82"/>
      <c r="E1" s="81" t="s">
        <v>84</v>
      </c>
      <c r="F1" s="81" t="s">
        <v>67</v>
      </c>
    </row>
    <row r="2" spans="1:7" ht="15">
      <c r="A2" s="5" t="s">
        <v>266</v>
      </c>
      <c r="B2" s="14">
        <f>'Algemeen en dieraantallen'!B10</f>
        <v>94.04934687953556</v>
      </c>
      <c r="E2" s="14">
        <f>'Algemeen en dieraantallen'!B13</f>
        <v>105.95065312046444</v>
      </c>
      <c r="G2" s="5" t="s">
        <v>43</v>
      </c>
    </row>
    <row r="4" spans="1:6" ht="15">
      <c r="A4" s="7" t="s">
        <v>277</v>
      </c>
      <c r="B4" s="80" t="s">
        <v>82</v>
      </c>
      <c r="C4" s="80" t="s">
        <v>67</v>
      </c>
      <c r="D4" s="82"/>
      <c r="E4" s="81" t="s">
        <v>84</v>
      </c>
      <c r="F4" s="81" t="s">
        <v>67</v>
      </c>
    </row>
    <row r="5" spans="1:7" ht="15">
      <c r="A5" s="5" t="s">
        <v>278</v>
      </c>
      <c r="B5" s="79">
        <f>C5</f>
        <v>15</v>
      </c>
      <c r="C5" s="2">
        <v>15</v>
      </c>
      <c r="E5" s="33">
        <f>F5</f>
        <v>45</v>
      </c>
      <c r="F5" s="24">
        <v>45</v>
      </c>
      <c r="G5" s="5" t="s">
        <v>168</v>
      </c>
    </row>
    <row r="6" spans="1:7" ht="15">
      <c r="A6" s="5" t="s">
        <v>279</v>
      </c>
      <c r="B6" s="79">
        <f>C6</f>
        <v>5</v>
      </c>
      <c r="C6" s="2">
        <v>5</v>
      </c>
      <c r="G6" s="5" t="s">
        <v>280</v>
      </c>
    </row>
    <row r="7" spans="1:13" ht="15" thickBot="1">
      <c r="A7" s="5" t="s">
        <v>281</v>
      </c>
      <c r="B7" s="21">
        <f>(B2*B6*Rantsoen!B2+(365-Rantsoen!B2)*'Water en energie'!B2*'Water en energie'!B5)/1000</f>
        <v>465.0740203193033</v>
      </c>
      <c r="E7" s="21">
        <f>((Rantsoen!E9+Rantsoen!E12)*E2*E5)/1000</f>
        <v>1740.2394775036284</v>
      </c>
      <c r="G7" s="5" t="s">
        <v>170</v>
      </c>
      <c r="M7" s="6"/>
    </row>
    <row r="8" spans="1:14" ht="15" thickBot="1">
      <c r="A8" s="5" t="s">
        <v>282</v>
      </c>
      <c r="B8" s="118">
        <f>Hoofdpagina!B46</f>
        <v>0.73</v>
      </c>
      <c r="C8" s="9"/>
      <c r="E8" s="38">
        <f>Hoofdpagina!B46</f>
        <v>0.73</v>
      </c>
      <c r="G8" s="5" t="s">
        <v>143</v>
      </c>
      <c r="L8" s="6" t="s">
        <v>283</v>
      </c>
      <c r="M8" s="25">
        <f>B7*B8+E7*E8</f>
        <v>1609.8788534107402</v>
      </c>
      <c r="N8" s="5" t="s">
        <v>51</v>
      </c>
    </row>
    <row r="10" ht="15">
      <c r="A10" s="7" t="s">
        <v>284</v>
      </c>
    </row>
    <row r="11" ht="15">
      <c r="A11" s="5" t="s">
        <v>286</v>
      </c>
    </row>
    <row r="12" spans="1:4" ht="15">
      <c r="A12" s="5" t="s">
        <v>287</v>
      </c>
      <c r="B12" s="79">
        <f>C12</f>
        <v>8</v>
      </c>
      <c r="C12" s="2">
        <v>8</v>
      </c>
      <c r="D12" s="31" t="s">
        <v>289</v>
      </c>
    </row>
    <row r="13" spans="1:4" ht="15">
      <c r="A13" s="5" t="s">
        <v>288</v>
      </c>
      <c r="B13" s="79">
        <f>C13</f>
        <v>40</v>
      </c>
      <c r="C13" s="2">
        <v>40</v>
      </c>
      <c r="D13" s="31" t="s">
        <v>289</v>
      </c>
    </row>
    <row r="14" spans="1:4" ht="15">
      <c r="A14" s="5" t="s">
        <v>290</v>
      </c>
      <c r="B14" s="21">
        <f>IF(Rantsoen!B2&gt;0,((B2*B6*Rantsoen!B2)/1000)*(B13-B12)*1.16,0)</f>
        <v>925.1446153846155</v>
      </c>
      <c r="D14" s="5" t="s">
        <v>291</v>
      </c>
    </row>
    <row r="16" spans="1:4" ht="15">
      <c r="A16" s="5" t="s">
        <v>292</v>
      </c>
      <c r="B16" s="79">
        <f>C16</f>
        <v>0</v>
      </c>
      <c r="C16" s="2">
        <f>IF('Arbeid+installaties'!B4&gt;0,80,0)</f>
        <v>0</v>
      </c>
      <c r="D16" s="5" t="s">
        <v>291</v>
      </c>
    </row>
    <row r="18" spans="1:4" ht="15">
      <c r="A18" s="5" t="s">
        <v>293</v>
      </c>
      <c r="B18" s="79">
        <f>C18</f>
        <v>0</v>
      </c>
      <c r="C18" s="2">
        <v>0</v>
      </c>
      <c r="D18" s="5" t="s">
        <v>291</v>
      </c>
    </row>
    <row r="19" spans="1:4" ht="15">
      <c r="A19" s="5" t="s">
        <v>294</v>
      </c>
      <c r="B19" s="79">
        <f>C19</f>
        <v>150</v>
      </c>
      <c r="C19" s="2">
        <v>150</v>
      </c>
      <c r="D19" s="5" t="s">
        <v>291</v>
      </c>
    </row>
    <row r="20" spans="1:4" ht="15" thickBot="1">
      <c r="A20" s="5" t="s">
        <v>295</v>
      </c>
      <c r="B20" s="21">
        <f>SUM(B14:B19)</f>
        <v>1075.1446153846155</v>
      </c>
      <c r="D20" s="5" t="s">
        <v>291</v>
      </c>
    </row>
    <row r="21" spans="1:14" ht="15" thickBot="1">
      <c r="A21" s="5" t="s">
        <v>297</v>
      </c>
      <c r="B21" s="87">
        <f>C21</f>
        <v>0.21</v>
      </c>
      <c r="C21" s="117">
        <v>0.21</v>
      </c>
      <c r="D21" s="5" t="s">
        <v>296</v>
      </c>
      <c r="L21" s="6" t="s">
        <v>298</v>
      </c>
      <c r="M21" s="25">
        <f>B20*B21</f>
        <v>225.78036923076925</v>
      </c>
      <c r="N21" s="5" t="s">
        <v>51</v>
      </c>
    </row>
    <row r="23" ht="15">
      <c r="A23" s="5" t="s">
        <v>285</v>
      </c>
    </row>
    <row r="25" ht="15" thickBot="1">
      <c r="A25" s="7" t="s">
        <v>387</v>
      </c>
    </row>
    <row r="26" spans="1:14" ht="15" thickBot="1">
      <c r="A26" s="5" t="s">
        <v>388</v>
      </c>
      <c r="B26" s="79">
        <f>C26</f>
        <v>7500</v>
      </c>
      <c r="C26" s="111">
        <v>7500</v>
      </c>
      <c r="D26" s="5" t="s">
        <v>51</v>
      </c>
      <c r="L26" s="6" t="s">
        <v>389</v>
      </c>
      <c r="M26" s="78">
        <f>B26</f>
        <v>7500</v>
      </c>
      <c r="N26" s="5" t="s">
        <v>51</v>
      </c>
    </row>
    <row r="28" ht="15" hidden="1"/>
    <row r="29" ht="15" hidden="1"/>
    <row r="30" ht="15" hidden="1"/>
    <row r="31" ht="15" hidden="1"/>
    <row r="32" ht="15" hidden="1"/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ignoredErrors>
    <ignoredError sqref="E3 E21 E14:E20 E9:E13 B9:C13 C14:C20 B21 B3:C3 E5:E7 B5:C7" unlockedFormula="1"/>
    <ignoredError sqref="B15:B20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Evers, Aart</dc:creator>
  <cp:keywords/>
  <dc:description/>
  <cp:lastModifiedBy>Evers, Aart</cp:lastModifiedBy>
  <cp:lastPrinted>2011-03-21T08:14:39Z</cp:lastPrinted>
  <dcterms:created xsi:type="dcterms:W3CDTF">2011-03-03T09:11:17Z</dcterms:created>
  <dcterms:modified xsi:type="dcterms:W3CDTF">2019-10-08T07:08:06Z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